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tabRatio="726" activeTab="1"/>
  </bookViews>
  <sheets>
    <sheet name="Eelarvearuanne" sheetId="1" r:id="rId1"/>
    <sheet name="Strateegia vorm KOV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Maire Appo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  <comment ref="D38" authorId="1">
      <text>
        <r>
          <rPr>
            <b/>
            <sz val="9"/>
            <rFont val="Segoe UI"/>
            <family val="2"/>
          </rPr>
          <t>Maire Appo:</t>
        </r>
        <r>
          <rPr>
            <sz val="9"/>
            <rFont val="Segoe UI"/>
            <family val="2"/>
          </rPr>
          <t xml:space="preserve">
staadion 15000
laululava 85000
</t>
        </r>
      </text>
    </comment>
    <comment ref="D37" authorId="1">
      <text>
        <r>
          <rPr>
            <b/>
            <sz val="9"/>
            <rFont val="Segoe UI"/>
            <family val="2"/>
          </rPr>
          <t>Maire Appo:</t>
        </r>
        <r>
          <rPr>
            <sz val="9"/>
            <rFont val="Segoe UI"/>
            <family val="2"/>
          </rPr>
          <t xml:space="preserve">
jalgpall 140+15 tuh
laululava 85+8 tuh
välisvalg. -8 tuh
</t>
        </r>
      </text>
    </comment>
  </commentList>
</comments>
</file>

<file path=xl/sharedStrings.xml><?xml version="1.0" encoding="utf-8"?>
<sst xmlns="http://schemas.openxmlformats.org/spreadsheetml/2006/main" count="444" uniqueCount="401">
  <si>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</si>
  <si>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</si>
  <si>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</si>
  <si>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</si>
  <si>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</si>
  <si>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</si>
  <si>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</si>
  <si>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</si>
  <si>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</si>
  <si>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 xml:space="preserve">          sh personalikulud</t>
  </si>
  <si>
    <t xml:space="preserve">          sh majandamiskulud</t>
  </si>
  <si>
    <t xml:space="preserve">          sh muud kulud</t>
  </si>
  <si>
    <t>Võlakohustused kokku aasta lõpu seisuga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</si>
  <si>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</si>
  <si>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</si>
  <si>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</si>
  <si>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</si>
  <si>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</si>
  <si>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</si>
  <si>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</si>
  <si>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</si>
  <si>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</si>
  <si>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</si>
  <si>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</si>
  <si>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</si>
  <si>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</si>
  <si>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Kohustuste võtmine (+)</t>
  </si>
  <si>
    <t xml:space="preserve">   Kohustuste tasumine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</si>
  <si>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</si>
  <si>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</si>
  <si>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</si>
  <si>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</si>
  <si>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Netovõlakoormus (%)</t>
  </si>
  <si>
    <t>Vaba netovõlakoormus (eurodes)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</si>
  <si>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</si>
  <si>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</si>
  <si>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</si>
  <si>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</si>
  <si>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</si>
  <si>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</si>
  <si>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</si>
  <si>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</si>
  <si>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</si>
  <si>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</si>
  <si>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</si>
  <si>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</si>
  <si>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</si>
  <si>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</si>
  <si>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</si>
  <si>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</si>
  <si>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</si>
  <si>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</si>
  <si>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</si>
  <si>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</si>
  <si>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</si>
  <si>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</si>
  <si>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</si>
  <si>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</si>
  <si>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</si>
  <si>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</si>
  <si>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</si>
  <si>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</si>
  <si>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</si>
  <si>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Laululavad</t>
  </si>
  <si>
    <t>Botaanikaaed</t>
  </si>
  <si>
    <t>Loomaaed</t>
  </si>
  <si>
    <t>Seltsitegevus</t>
  </si>
  <si>
    <t>Kultuuriüritused</t>
  </si>
  <si>
    <t>Muinsuskaitse</t>
  </si>
  <si>
    <t>Kontsertorganisatsioonid</t>
  </si>
  <si>
    <t>Kinod</t>
  </si>
  <si>
    <t>Teatrid</t>
  </si>
  <si>
    <t>Muuseumid</t>
  </si>
  <si>
    <t>Rahva- ja kultuurimajad</t>
  </si>
  <si>
    <t>Raamatukogud</t>
  </si>
  <si>
    <t>Vaba aja üritused</t>
  </si>
  <si>
    <t>Täiskasvanute huvialaasutused</t>
  </si>
  <si>
    <t>Noorsootöö ja noortekeskused</t>
  </si>
  <si>
    <t>Laste huvialamajad ja keskused</t>
  </si>
  <si>
    <t>Laste muusika- ja kunstikoolid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</si>
  <si>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</si>
  <si>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</si>
  <si>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</si>
  <si>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</si>
  <si>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</si>
  <si>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</si>
  <si>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</si>
  <si>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</si>
  <si>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</si>
  <si>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</si>
  <si>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</si>
  <si>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</si>
  <si>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</si>
  <si>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</si>
  <si>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</si>
  <si>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</si>
  <si>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</si>
  <si>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</si>
  <si>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</si>
  <si>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</si>
  <si>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</si>
  <si>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</si>
  <si>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</si>
  <si>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</si>
  <si>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</si>
  <si>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</si>
  <si>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</si>
  <si>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</si>
  <si>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</si>
  <si>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</si>
  <si>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</si>
  <si>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</si>
  <si>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</si>
  <si>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</si>
  <si>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</si>
  <si>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</si>
  <si>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</si>
  <si>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</si>
  <si>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</si>
  <si>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</si>
  <si>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</si>
  <si>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</si>
  <si>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</si>
  <si>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</si>
  <si>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</si>
  <si>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</si>
  <si>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</si>
  <si>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</si>
  <si>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</si>
  <si>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</si>
  <si>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</si>
  <si>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</si>
  <si>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</si>
  <si>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</si>
  <si>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</si>
  <si>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</si>
  <si>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</si>
  <si>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</si>
  <si>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</si>
  <si>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</si>
  <si>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</si>
  <si>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</si>
  <si>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</si>
  <si>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</si>
  <si>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</si>
  <si>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</si>
  <si>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</si>
  <si>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</si>
  <si>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</si>
  <si>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</si>
  <si>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</si>
  <si>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</si>
  <si>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</si>
  <si>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</si>
  <si>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</si>
  <si>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</si>
  <si>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</si>
  <si>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</si>
  <si>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</si>
  <si>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</si>
  <si>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</si>
  <si>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</si>
  <si>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</si>
  <si>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</si>
  <si>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</si>
  <si>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 xml:space="preserve">   Finantstulud (+)</t>
  </si>
  <si>
    <t xml:space="preserve">   Finantskulud (-)</t>
  </si>
  <si>
    <t>Tasakaalu kontroll</t>
  </si>
  <si>
    <t>PÕHITEGEVUSE KULUDE JA INVESTEERIMISTEGEVUSE VÄLJAMINEKUTE JAOTUS TEGEVUSALADE JÄRGI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</si>
  <si>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</si>
  <si>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</si>
  <si>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</si>
  <si>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</si>
  <si>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</si>
  <si>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</si>
  <si>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</si>
  <si>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</si>
  <si>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</si>
  <si>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</si>
  <si>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</si>
  <si>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</si>
  <si>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</si>
  <si>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</si>
  <si>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</si>
  <si>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Eelpool nimetamata muud projektid kokku</t>
  </si>
  <si>
    <t>Nõuete ja kohustuste saldode muutus (tekkepõhise e/a korral) (+ suurenemine /- vähenemine)</t>
  </si>
  <si>
    <t>* Tähtsamad investeeringuprojektid tuua eraldi välja (KOIT, ÜF, LPA, PKT)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</si>
  <si>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</si>
  <si>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</si>
  <si>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</si>
  <si>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</si>
  <si>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</si>
  <si>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</si>
  <si>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</si>
  <si>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</si>
  <si>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</si>
  <si>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</si>
  <si>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</si>
  <si>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</si>
  <si>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</si>
  <si>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</si>
  <si>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</si>
  <si>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</si>
  <si>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</si>
  <si>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</si>
  <si>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</si>
  <si>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</si>
  <si>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</si>
  <si>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</si>
  <si>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</si>
  <si>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</si>
  <si>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</si>
  <si>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</si>
  <si>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</si>
  <si>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</si>
  <si>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</si>
  <si>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</si>
  <si>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</si>
  <si>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</si>
  <si>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</si>
  <si>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</si>
  <si>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</si>
  <si>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</si>
  <si>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</si>
  <si>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</si>
  <si>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</si>
  <si>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</si>
  <si>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</si>
  <si>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</si>
  <si>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</si>
  <si>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</si>
  <si>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</si>
  <si>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</si>
  <si>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</si>
  <si>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</si>
  <si>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</si>
  <si>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</si>
  <si>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</si>
  <si>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</si>
  <si>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</si>
  <si>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</si>
  <si>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</si>
  <si>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</si>
  <si>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08207</t>
  </si>
  <si>
    <t>08208</t>
  </si>
  <si>
    <t>08209</t>
  </si>
  <si>
    <t>08210</t>
  </si>
  <si>
    <t>08211</t>
  </si>
  <si>
    <t>08212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</si>
  <si>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</si>
  <si>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</si>
  <si>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</si>
  <si>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</si>
  <si>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</si>
  <si>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</si>
  <si>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</si>
  <si>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</si>
  <si>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</si>
  <si>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</si>
  <si>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</si>
  <si>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</si>
  <si>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</si>
  <si>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</si>
  <si>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</si>
  <si>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</si>
  <si>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</si>
  <si>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</si>
  <si>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</si>
  <si>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</si>
  <si>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</si>
  <si>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</si>
  <si>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</si>
  <si>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</si>
  <si>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</si>
  <si>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</si>
  <si>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</si>
  <si>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</si>
  <si>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</si>
  <si>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</si>
  <si>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</si>
  <si>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</si>
  <si>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</si>
  <si>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</si>
  <si>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</si>
  <si>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</si>
  <si>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</si>
  <si>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</si>
  <si>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</si>
  <si>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</si>
  <si>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</si>
  <si>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</si>
  <si>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</si>
  <si>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</si>
  <si>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</si>
  <si>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r>
      <t xml:space="preserve">laenude võtmine, võlakirjade emiteerimine, kapitalirendi-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</si>
  <si>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Aasta algusest kokku</t>
  </si>
  <si>
    <t>3880, 3888</t>
  </si>
  <si>
    <t>Tuua välja suuremad ja tähtsamad projektid</t>
  </si>
  <si>
    <t>sõltuvale üksusele investeeringuteks, sõltuv üksus näitab fin tehingutes</t>
  </si>
  <si>
    <t>Põllumajandus</t>
  </si>
  <si>
    <t>Ühistranspordi korraldus</t>
  </si>
  <si>
    <t xml:space="preserve">Sporditegevus 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</si>
  <si>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</si>
  <si>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</si>
  <si>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</si>
  <si>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</si>
  <si>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</si>
  <si>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</si>
  <si>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</si>
  <si>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</si>
  <si>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</si>
  <si>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</si>
  <si>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Investeeringuprojektid* (alati "+" märgiga)</t>
  </si>
  <si>
    <t>siia ka kap rendi või teenuste kontsessioonilepete alusel põhivara soetamine</t>
  </si>
  <si>
    <t xml:space="preserve">kas 6-kordne põhitegevuse tulem või 60% põhitegevuse tuludest, kumb on suurem, kuid mitte rohkem kui 100%. Siia on lisatud rida 18 summad 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</si>
  <si>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</si>
  <si>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</si>
  <si>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</si>
  <si>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Ridu juurde teha ei tohi, va alates reast 68!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</si>
  <si>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</si>
  <si>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</si>
  <si>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</si>
  <si>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</si>
  <si>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 xml:space="preserve">Kokku artiklite ja tegevusalade võrdlus </t>
  </si>
  <si>
    <t xml:space="preserve">2017 eelarve  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</si>
  <si>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</si>
  <si>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</si>
  <si>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</si>
  <si>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</si>
  <si>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</si>
  <si>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</si>
  <si>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</si>
  <si>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</si>
  <si>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</si>
  <si>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</si>
  <si>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</si>
  <si>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</si>
  <si>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2018 eelarve  </t>
  </si>
  <si>
    <t xml:space="preserve">Taseme alusel mittemääratletav haridus 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</si>
  <si>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</si>
  <si>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</si>
  <si>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</si>
  <si>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</si>
  <si>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</si>
  <si>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</si>
  <si>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</si>
  <si>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</si>
  <si>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</si>
  <si>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üle 1 a perioodiga mittekatkestatav kasutusrent,tähtajaks täitmata kohustused, toetuse andmise kohustused, saadud toetuste tagasimakse kohustused,  pikaajalised võlad tarnijatele jne.</t>
  </si>
  <si>
    <t>Strateegia vormi automaatseks</t>
  </si>
  <si>
    <t>n-1 aasta täitmiseks</t>
  </si>
  <si>
    <t xml:space="preserve">    sh kohustused, mis  ei kajastu finantseerimistegevuses</t>
  </si>
  <si>
    <t>Kulud mii-nusmärgiga!!!</t>
  </si>
  <si>
    <t xml:space="preserve">kogu veeru kopeerimisel </t>
  </si>
  <si>
    <t>perioodi lõpp sisestada</t>
  </si>
  <si>
    <t>uuesti, sest muidu tuleb siia perioodi algus</t>
  </si>
  <si>
    <t>KOV või KOV arvestusüksus, mille netovõlakoormus on aruandeaasta alguse seisuga väiksem kui 60% põhitegevuse tuludest, ei tohi kuni 2016. a lõpuni KOFSi § 34 lõikes 2 nimetatud võlakohustuste ja sama paragrahvi lõikes 7 nimetatud rendikohustuste võtmisega netovõlakoormust suurendada üle 60 protsendi sama aruandeaasta põhitegevuse tuludest</t>
  </si>
  <si>
    <t>Ei saa rohkem suunata kui reale 40 eelmisel aastal jääb.</t>
  </si>
  <si>
    <t>Tuleb näidata ka vastava teg ala all (varem oli nõue 01800)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</si>
  <si>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</si>
  <si>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siia 01800 alla antavad laenud sõltuvale üksusele. </t>
  </si>
  <si>
    <t>siin ka hajaasustuse veeprogramm</t>
  </si>
  <si>
    <t>C pesa summa peab võrduma summaga, mis on pesas C74!!!</t>
  </si>
  <si>
    <r>
      <t xml:space="preserve">alates </t>
    </r>
    <r>
      <rPr>
        <b/>
        <sz val="10"/>
        <rFont val="Arial"/>
        <family val="2"/>
      </rPr>
      <t>2012</t>
    </r>
    <r>
      <rPr>
        <sz val="10"/>
        <rFont val="Arial"/>
        <family val="0"/>
      </rPr>
      <t xml:space="preserve">. a-st sõlmitud lepingute puhul, mitte varasemad. </t>
    </r>
    <r>
      <rPr>
        <b/>
        <sz val="10"/>
        <rFont val="Arial"/>
        <family val="2"/>
      </rPr>
      <t xml:space="preserve">Kui siin on summa </t>
    </r>
    <r>
      <rPr>
        <sz val="10"/>
        <rFont val="Arial"/>
        <family val="2"/>
      </rPr>
      <t xml:space="preserve">,siis </t>
    </r>
    <r>
      <rPr>
        <sz val="10"/>
        <rFont val="Arial"/>
        <family val="0"/>
      </rPr>
      <t>t</t>
    </r>
    <r>
      <rPr>
        <b/>
        <sz val="10"/>
        <rFont val="Arial"/>
        <family val="2"/>
      </rPr>
      <t>äita ka rida 42!</t>
    </r>
    <r>
      <rPr>
        <sz val="10"/>
        <rFont val="Arial"/>
        <family val="0"/>
      </rPr>
      <t>!!</t>
    </r>
  </si>
  <si>
    <t>Siin on ka resrvfond</t>
  </si>
  <si>
    <t>laenu ei saa rohkem võtta kui investeeringuid teete, st rida23+26+28+30!!!</t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</si>
  <si>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</si>
  <si>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</si>
  <si>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</si>
  <si>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</si>
  <si>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</si>
  <si>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</si>
  <si>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</si>
  <si>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</si>
  <si>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</si>
  <si>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</si>
  <si>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palun lisada objekti nimele ka teg valdkonna tunnus, nt haridus 09, majandus 04</t>
  </si>
  <si>
    <t>3 esimest veergu tühjad, sest kuni 2016 kehtib 60% piirang</t>
  </si>
  <si>
    <t>KIKi laenude erand lõpeb 2015. aastaga, st 2016-2019 saab siin olla ainult sildfin</t>
  </si>
  <si>
    <t>Ei saa kunagi olla negatiivne!</t>
  </si>
  <si>
    <r>
      <t xml:space="preserve">siin võib 2015. a olla erinevus alumise tabeliga, kui olete saanud raha </t>
    </r>
    <r>
      <rPr>
        <b/>
        <sz val="10"/>
        <rFont val="Arial"/>
        <family val="2"/>
      </rPr>
      <t>eelmisel aastal</t>
    </r>
    <r>
      <rPr>
        <sz val="10"/>
        <rFont val="Arial"/>
        <family val="2"/>
      </rPr>
      <t xml:space="preserve"> tehtud invest eest</t>
    </r>
  </si>
  <si>
    <t>riigilt õppelaen, raamatud, ujumise algõpe jt jooksvad toetused</t>
  </si>
  <si>
    <t xml:space="preserve">         sh  tasandusfond </t>
  </si>
  <si>
    <t xml:space="preserve">         sh  toetusfond</t>
  </si>
  <si>
    <t>Keskväljaku rekonstrueerimine</t>
  </si>
  <si>
    <t>Laululava ehitus</t>
  </si>
  <si>
    <t>Tõrva gümnaasiumi staadioni rek.</t>
  </si>
  <si>
    <t>Tõrva gümnaasiumi ujula-õpilaskompleks</t>
  </si>
  <si>
    <t>Hoone Veski tn 5 rek</t>
  </si>
  <si>
    <t>Kinohoone rekonstrueerimine</t>
  </si>
  <si>
    <t>Jalgpalliväljaku rekonstrueerimine</t>
  </si>
  <si>
    <t>Tõrva Linnavalitsus (eelnõu)</t>
  </si>
  <si>
    <t>Riiska linnaosa ettevõtlusala rek.</t>
  </si>
  <si>
    <t>2015 täitmine</t>
  </si>
  <si>
    <t>2016.a. eldatav täitmine</t>
  </si>
  <si>
    <t xml:space="preserve">2020 eelarve  </t>
  </si>
  <si>
    <t>2016 .a eeldatav täitmine</t>
  </si>
  <si>
    <t xml:space="preserve"> 2015. a täitmine</t>
  </si>
  <si>
    <t>sh laen 2016.a. 140000</t>
  </si>
  <si>
    <t xml:space="preserve"> sh laen 2016.a. 274000</t>
  </si>
  <si>
    <t xml:space="preserve">  sh laen 2016.a. 96 000; 2017.a. 530000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</si>
</sst>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63"/>
      <name val="Verdana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333333"/>
      <name val="Verdana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C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3" borderId="3" applyNumberFormat="0" applyAlignment="0" applyProtection="0"/>
    <xf numFmtId="0" fontId="5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0" fillId="24" borderId="5" applyNumberFormat="0" applyFont="0" applyAlignment="0" applyProtection="0"/>
    <xf numFmtId="0" fontId="63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20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10" xfId="47" applyFont="1" applyFill="1" applyBorder="1" applyAlignment="1">
      <alignment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0" fontId="0" fillId="0" borderId="13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wrapText="1"/>
    </xf>
    <xf numFmtId="3" fontId="1" fillId="33" borderId="15" xfId="0" applyNumberFormat="1" applyFont="1" applyFill="1" applyBorder="1" applyAlignment="1">
      <alignment wrapText="1"/>
    </xf>
    <xf numFmtId="3" fontId="0" fillId="33" borderId="14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wrapText="1"/>
    </xf>
    <xf numFmtId="3" fontId="0" fillId="33" borderId="15" xfId="0" applyNumberFormat="1" applyFont="1" applyFill="1" applyBorder="1" applyAlignment="1">
      <alignment wrapText="1"/>
    </xf>
    <xf numFmtId="3" fontId="0" fillId="33" borderId="13" xfId="0" applyNumberFormat="1" applyFont="1" applyFill="1" applyBorder="1" applyAlignment="1">
      <alignment wrapText="1"/>
    </xf>
    <xf numFmtId="3" fontId="1" fillId="33" borderId="16" xfId="0" applyNumberFormat="1" applyFont="1" applyFill="1" applyBorder="1" applyAlignment="1">
      <alignment horizontal="right" wrapText="1"/>
    </xf>
    <xf numFmtId="3" fontId="1" fillId="33" borderId="17" xfId="0" applyNumberFormat="1" applyFont="1" applyFill="1" applyBorder="1" applyAlignment="1">
      <alignment horizontal="right" wrapText="1"/>
    </xf>
    <xf numFmtId="3" fontId="1" fillId="33" borderId="15" xfId="0" applyNumberFormat="1" applyFont="1" applyFill="1" applyBorder="1" applyAlignment="1">
      <alignment wrapText="1"/>
    </xf>
    <xf numFmtId="3" fontId="1" fillId="33" borderId="13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4" fontId="12" fillId="0" borderId="18" xfId="48" applyNumberFormat="1" applyFont="1" applyFill="1" applyBorder="1" applyAlignment="1" applyProtection="1">
      <alignment wrapText="1"/>
      <protection locked="0"/>
    </xf>
    <xf numFmtId="0" fontId="13" fillId="0" borderId="19" xfId="48" applyFont="1" applyBorder="1">
      <alignment/>
      <protection/>
    </xf>
    <xf numFmtId="0" fontId="14" fillId="0" borderId="20" xfId="46" applyFont="1" applyBorder="1">
      <alignment/>
      <protection/>
    </xf>
    <xf numFmtId="0" fontId="13" fillId="0" borderId="19" xfId="48" applyFont="1" applyFill="1" applyBorder="1">
      <alignment/>
      <protection/>
    </xf>
    <xf numFmtId="0" fontId="14" fillId="0" borderId="20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1" fillId="0" borderId="20" xfId="48" applyFont="1" applyFill="1" applyBorder="1">
      <alignment/>
      <protection/>
    </xf>
    <xf numFmtId="0" fontId="1" fillId="34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11" fillId="0" borderId="23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0" fillId="0" borderId="14" xfId="0" applyFont="1" applyFill="1" applyBorder="1" applyAlignment="1">
      <alignment wrapText="1"/>
    </xf>
    <xf numFmtId="0" fontId="1" fillId="34" borderId="21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3" fillId="0" borderId="0" xfId="48" applyFont="1" applyFill="1" applyBorder="1" applyProtection="1">
      <alignment/>
      <protection locked="0"/>
    </xf>
    <xf numFmtId="0" fontId="3" fillId="0" borderId="23" xfId="48" applyFont="1" applyFill="1" applyBorder="1" applyProtection="1">
      <alignment/>
      <protection locked="0"/>
    </xf>
    <xf numFmtId="0" fontId="3" fillId="0" borderId="20" xfId="48" applyFont="1" applyFill="1" applyBorder="1" applyProtection="1">
      <alignment/>
      <protection locked="0"/>
    </xf>
    <xf numFmtId="0" fontId="3" fillId="0" borderId="19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0" xfId="48" applyFont="1" applyFill="1" applyBorder="1">
      <alignment/>
      <protection/>
    </xf>
    <xf numFmtId="0" fontId="3" fillId="0" borderId="20" xfId="46" applyFont="1" applyFill="1" applyBorder="1">
      <alignment/>
      <protection/>
    </xf>
    <xf numFmtId="0" fontId="3" fillId="0" borderId="23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35" borderId="0" xfId="46" applyFont="1" applyFill="1" applyBorder="1">
      <alignment/>
      <protection/>
    </xf>
    <xf numFmtId="0" fontId="3" fillId="0" borderId="19" xfId="46" applyFont="1" applyBorder="1">
      <alignment/>
      <protection/>
    </xf>
    <xf numFmtId="0" fontId="3" fillId="35" borderId="19" xfId="46" applyFont="1" applyFill="1" applyBorder="1">
      <alignment/>
      <protection/>
    </xf>
    <xf numFmtId="180" fontId="3" fillId="0" borderId="23" xfId="48" applyNumberFormat="1" applyFont="1" applyFill="1" applyBorder="1">
      <alignment/>
      <protection/>
    </xf>
    <xf numFmtId="0" fontId="3" fillId="0" borderId="20" xfId="48" applyFont="1" applyBorder="1">
      <alignment/>
      <protection/>
    </xf>
    <xf numFmtId="180" fontId="3" fillId="0" borderId="20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3" fontId="0" fillId="35" borderId="13" xfId="0" applyNumberFormat="1" applyFont="1" applyFill="1" applyBorder="1" applyAlignment="1">
      <alignment wrapText="1"/>
    </xf>
    <xf numFmtId="3" fontId="0" fillId="35" borderId="13" xfId="0" applyNumberFormat="1" applyFont="1" applyFill="1" applyBorder="1" applyAlignment="1">
      <alignment wrapText="1"/>
    </xf>
    <xf numFmtId="3" fontId="0" fillId="35" borderId="24" xfId="0" applyNumberFormat="1" applyFont="1" applyFill="1" applyBorder="1" applyAlignment="1">
      <alignment wrapText="1"/>
    </xf>
    <xf numFmtId="3" fontId="0" fillId="35" borderId="25" xfId="0" applyNumberFormat="1" applyFont="1" applyFill="1" applyBorder="1" applyAlignment="1">
      <alignment wrapText="1"/>
    </xf>
    <xf numFmtId="0" fontId="3" fillId="0" borderId="23" xfId="48" applyFont="1" applyFill="1" applyBorder="1" applyAlignment="1" applyProtection="1">
      <alignment horizontal="left"/>
      <protection locked="0"/>
    </xf>
    <xf numFmtId="0" fontId="3" fillId="0" borderId="20" xfId="48" applyFont="1" applyFill="1" applyBorder="1" applyAlignment="1" applyProtection="1">
      <alignment horizontal="left"/>
      <protection locked="0"/>
    </xf>
    <xf numFmtId="0" fontId="3" fillId="0" borderId="26" xfId="46" applyFont="1" applyBorder="1" applyAlignment="1">
      <alignment horizontal="left"/>
      <protection/>
    </xf>
    <xf numFmtId="0" fontId="3" fillId="0" borderId="23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27" xfId="46" applyFont="1" applyBorder="1" applyAlignment="1">
      <alignment horizontal="left"/>
      <protection/>
    </xf>
    <xf numFmtId="0" fontId="3" fillId="0" borderId="20" xfId="48" applyFont="1" applyFill="1" applyBorder="1" applyAlignment="1">
      <alignment horizontal="left"/>
      <protection/>
    </xf>
    <xf numFmtId="0" fontId="3" fillId="0" borderId="11" xfId="46" applyFont="1" applyBorder="1" applyAlignment="1">
      <alignment horizontal="left"/>
      <protection/>
    </xf>
    <xf numFmtId="0" fontId="11" fillId="0" borderId="20" xfId="48" applyFont="1" applyFill="1" applyBorder="1" applyAlignment="1">
      <alignment horizontal="left"/>
      <protection/>
    </xf>
    <xf numFmtId="49" fontId="3" fillId="0" borderId="23" xfId="48" applyNumberFormat="1" applyFont="1" applyFill="1" applyBorder="1" applyAlignment="1">
      <alignment horizontal="left"/>
      <protection/>
    </xf>
    <xf numFmtId="49" fontId="3" fillId="0" borderId="20" xfId="48" applyNumberFormat="1" applyFont="1" applyFill="1" applyBorder="1" applyAlignment="1">
      <alignment horizontal="left"/>
      <protection/>
    </xf>
    <xf numFmtId="49" fontId="13" fillId="0" borderId="26" xfId="47" applyNumberFormat="1" applyFont="1" applyFill="1" applyBorder="1" applyAlignment="1">
      <alignment horizontal="left"/>
      <protection/>
    </xf>
    <xf numFmtId="49" fontId="3" fillId="0" borderId="11" xfId="47" applyNumberFormat="1" applyFont="1" applyFill="1" applyBorder="1" applyAlignment="1">
      <alignment horizontal="left"/>
      <protection/>
    </xf>
    <xf numFmtId="0" fontId="3" fillId="0" borderId="11" xfId="47" applyFont="1" applyFill="1" applyBorder="1" applyAlignment="1">
      <alignment horizontal="left"/>
      <protection/>
    </xf>
    <xf numFmtId="0" fontId="3" fillId="0" borderId="27" xfId="47" applyFont="1" applyFill="1" applyBorder="1" applyAlignment="1">
      <alignment horizontal="left"/>
      <protection/>
    </xf>
    <xf numFmtId="49" fontId="3" fillId="0" borderId="27" xfId="47" applyNumberFormat="1" applyFont="1" applyFill="1" applyBorder="1" applyAlignment="1">
      <alignment horizontal="left"/>
      <protection/>
    </xf>
    <xf numFmtId="0" fontId="3" fillId="35" borderId="26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19" xfId="48" applyFont="1" applyFill="1" applyBorder="1" applyAlignment="1" applyProtection="1">
      <alignment horizontal="left"/>
      <protection locked="0"/>
    </xf>
    <xf numFmtId="0" fontId="13" fillId="0" borderId="19" xfId="48" applyFont="1" applyFill="1" applyBorder="1" applyAlignment="1">
      <alignment horizontal="left"/>
      <protection/>
    </xf>
    <xf numFmtId="0" fontId="3" fillId="35" borderId="0" xfId="46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3" fillId="35" borderId="19" xfId="48" applyFont="1" applyFill="1" applyBorder="1" applyAlignment="1">
      <alignment horizontal="left"/>
      <protection/>
    </xf>
    <xf numFmtId="0" fontId="19" fillId="0" borderId="28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36" borderId="10" xfId="0" applyFont="1" applyFill="1" applyBorder="1" applyAlignment="1">
      <alignment wrapText="1"/>
    </xf>
    <xf numFmtId="0" fontId="13" fillId="37" borderId="19" xfId="48" applyFont="1" applyFill="1" applyBorder="1" applyAlignment="1">
      <alignment horizontal="left"/>
      <protection/>
    </xf>
    <xf numFmtId="0" fontId="13" fillId="37" borderId="23" xfId="48" applyFont="1" applyFill="1" applyBorder="1">
      <alignment/>
      <protection/>
    </xf>
    <xf numFmtId="0" fontId="13" fillId="37" borderId="20" xfId="48" applyFont="1" applyFill="1" applyBorder="1" applyAlignment="1">
      <alignment horizontal="left"/>
      <protection/>
    </xf>
    <xf numFmtId="0" fontId="13" fillId="37" borderId="20" xfId="48" applyFont="1" applyFill="1" applyBorder="1">
      <alignment/>
      <protection/>
    </xf>
    <xf numFmtId="0" fontId="13" fillId="37" borderId="19" xfId="46" applyFont="1" applyFill="1" applyBorder="1" applyAlignment="1">
      <alignment horizontal="left"/>
      <protection/>
    </xf>
    <xf numFmtId="0" fontId="3" fillId="37" borderId="19" xfId="46" applyFont="1" applyFill="1" applyBorder="1">
      <alignment/>
      <protection/>
    </xf>
    <xf numFmtId="0" fontId="3" fillId="37" borderId="19" xfId="48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0" xfId="46" applyFont="1" applyFill="1" applyBorder="1" applyAlignment="1">
      <alignment horizontal="left"/>
      <protection/>
    </xf>
    <xf numFmtId="0" fontId="3" fillId="38" borderId="20" xfId="46" applyFont="1" applyFill="1" applyBorder="1">
      <alignment/>
      <protection/>
    </xf>
    <xf numFmtId="0" fontId="13" fillId="38" borderId="19" xfId="48" applyFont="1" applyFill="1" applyBorder="1" applyAlignment="1">
      <alignment horizontal="left"/>
      <protection/>
    </xf>
    <xf numFmtId="0" fontId="3" fillId="38" borderId="19" xfId="48" applyFont="1" applyFill="1" applyBorder="1">
      <alignment/>
      <protection/>
    </xf>
    <xf numFmtId="3" fontId="1" fillId="38" borderId="13" xfId="0" applyNumberFormat="1" applyFont="1" applyFill="1" applyBorder="1" applyAlignment="1">
      <alignment wrapText="1"/>
    </xf>
    <xf numFmtId="0" fontId="13" fillId="0" borderId="0" xfId="46" applyFont="1" applyFill="1" applyProtection="1">
      <alignment/>
      <protection locked="0"/>
    </xf>
    <xf numFmtId="0" fontId="13" fillId="33" borderId="20" xfId="46" applyFont="1" applyFill="1" applyBorder="1" applyAlignment="1">
      <alignment horizontal="left"/>
      <protection/>
    </xf>
    <xf numFmtId="0" fontId="13" fillId="33" borderId="19" xfId="48" applyFont="1" applyFill="1" applyBorder="1">
      <alignment/>
      <protection/>
    </xf>
    <xf numFmtId="0" fontId="13" fillId="33" borderId="19" xfId="48" applyFont="1" applyFill="1" applyBorder="1" applyAlignment="1">
      <alignment horizontal="left"/>
      <protection/>
    </xf>
    <xf numFmtId="0" fontId="13" fillId="33" borderId="20" xfId="48" applyFont="1" applyFill="1" applyBorder="1" applyAlignment="1">
      <alignment horizontal="left"/>
      <protection/>
    </xf>
    <xf numFmtId="0" fontId="13" fillId="33" borderId="20" xfId="48" applyFont="1" applyFill="1" applyBorder="1">
      <alignment/>
      <protection/>
    </xf>
    <xf numFmtId="0" fontId="3" fillId="33" borderId="0" xfId="48" applyFont="1" applyFill="1" applyBorder="1">
      <alignment/>
      <protection/>
    </xf>
    <xf numFmtId="0" fontId="3" fillId="33" borderId="0" xfId="48" applyFont="1" applyFill="1" applyBorder="1" applyAlignment="1">
      <alignment/>
      <protection/>
    </xf>
    <xf numFmtId="0" fontId="3" fillId="33" borderId="0" xfId="46" applyFont="1" applyFill="1" applyBorder="1" applyAlignment="1">
      <alignment horizontal="left"/>
      <protection/>
    </xf>
    <xf numFmtId="0" fontId="3" fillId="33" borderId="20" xfId="48" applyFont="1" applyFill="1" applyBorder="1">
      <alignment/>
      <protection/>
    </xf>
    <xf numFmtId="0" fontId="3" fillId="33" borderId="0" xfId="48" applyFont="1" applyFill="1" applyBorder="1" applyAlignment="1">
      <alignment horizontal="left"/>
      <protection/>
    </xf>
    <xf numFmtId="0" fontId="3" fillId="33" borderId="20" xfId="48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29" xfId="0" applyFont="1" applyFill="1" applyBorder="1" applyAlignment="1">
      <alignment wrapText="1"/>
    </xf>
    <xf numFmtId="3" fontId="8" fillId="33" borderId="30" xfId="0" applyNumberFormat="1" applyFont="1" applyFill="1" applyBorder="1" applyAlignment="1">
      <alignment wrapText="1"/>
    </xf>
    <xf numFmtId="3" fontId="8" fillId="33" borderId="3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0" fillId="38" borderId="13" xfId="0" applyNumberFormat="1" applyFont="1" applyFill="1" applyBorder="1" applyAlignment="1">
      <alignment wrapText="1"/>
    </xf>
    <xf numFmtId="181" fontId="2" fillId="33" borderId="13" xfId="0" applyNumberFormat="1" applyFont="1" applyFill="1" applyBorder="1" applyAlignment="1">
      <alignment wrapText="1"/>
    </xf>
    <xf numFmtId="181" fontId="2" fillId="33" borderId="14" xfId="0" applyNumberFormat="1" applyFont="1" applyFill="1" applyBorder="1" applyAlignment="1">
      <alignment wrapText="1"/>
    </xf>
    <xf numFmtId="181" fontId="2" fillId="33" borderId="15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3" fontId="1" fillId="33" borderId="1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1" fillId="0" borderId="32" xfId="48" applyNumberFormat="1" applyFont="1" applyFill="1" applyBorder="1" applyAlignment="1" applyProtection="1">
      <alignment horizontal="right" wrapText="1"/>
      <protection locked="0"/>
    </xf>
    <xf numFmtId="4" fontId="6" fillId="0" borderId="33" xfId="47" applyNumberFormat="1" applyFont="1" applyFill="1" applyBorder="1" applyProtection="1">
      <alignment/>
      <protection locked="0"/>
    </xf>
    <xf numFmtId="0" fontId="1" fillId="36" borderId="34" xfId="0" applyNumberFormat="1" applyFont="1" applyFill="1" applyBorder="1" applyAlignment="1">
      <alignment horizontal="center" wrapText="1"/>
    </xf>
    <xf numFmtId="0" fontId="23" fillId="0" borderId="35" xfId="0" applyFont="1" applyBorder="1" applyAlignment="1">
      <alignment horizontal="left"/>
    </xf>
    <xf numFmtId="0" fontId="16" fillId="0" borderId="0" xfId="46" applyFont="1">
      <alignment/>
      <protection/>
    </xf>
    <xf numFmtId="0" fontId="21" fillId="0" borderId="0" xfId="48" applyFont="1" applyFill="1" applyBorder="1" applyAlignment="1" applyProtection="1">
      <alignment horizontal="left"/>
      <protection locked="0"/>
    </xf>
    <xf numFmtId="0" fontId="16" fillId="0" borderId="36" xfId="48" applyFont="1" applyFill="1" applyBorder="1" applyAlignment="1" applyProtection="1">
      <alignment horizontal="left"/>
      <protection locked="0"/>
    </xf>
    <xf numFmtId="0" fontId="16" fillId="0" borderId="27" xfId="48" applyFont="1" applyFill="1" applyBorder="1" applyAlignment="1" applyProtection="1">
      <alignment horizontal="left"/>
      <protection locked="0"/>
    </xf>
    <xf numFmtId="0" fontId="16" fillId="0" borderId="26" xfId="46" applyFont="1" applyBorder="1" applyAlignment="1">
      <alignment horizontal="left"/>
      <protection/>
    </xf>
    <xf numFmtId="0" fontId="16" fillId="0" borderId="36" xfId="48" applyFont="1" applyFill="1" applyBorder="1" applyAlignment="1">
      <alignment horizontal="left"/>
      <protection/>
    </xf>
    <xf numFmtId="0" fontId="16" fillId="0" borderId="11" xfId="48" applyFont="1" applyFill="1" applyBorder="1" applyAlignment="1">
      <alignment horizontal="left"/>
      <protection/>
    </xf>
    <xf numFmtId="0" fontId="16" fillId="0" borderId="27" xfId="48" applyFont="1" applyFill="1" applyBorder="1" applyAlignment="1">
      <alignment horizontal="left"/>
      <protection/>
    </xf>
    <xf numFmtId="0" fontId="16" fillId="0" borderId="27" xfId="46" applyFont="1" applyBorder="1" applyAlignment="1">
      <alignment horizontal="left"/>
      <protection/>
    </xf>
    <xf numFmtId="0" fontId="16" fillId="0" borderId="11" xfId="46" applyFont="1" applyBorder="1" applyAlignment="1">
      <alignment horizontal="left"/>
      <protection/>
    </xf>
    <xf numFmtId="0" fontId="16" fillId="0" borderId="26" xfId="48" applyFont="1" applyFill="1" applyBorder="1" applyAlignment="1">
      <alignment horizontal="left"/>
      <protection/>
    </xf>
    <xf numFmtId="0" fontId="9" fillId="0" borderId="27" xfId="48" applyFont="1" applyFill="1" applyBorder="1" applyAlignment="1">
      <alignment horizontal="left"/>
      <protection/>
    </xf>
    <xf numFmtId="0" fontId="16" fillId="0" borderId="11" xfId="46" applyFont="1" applyFill="1" applyBorder="1" applyAlignment="1">
      <alignment horizontal="left"/>
      <protection/>
    </xf>
    <xf numFmtId="49" fontId="16" fillId="0" borderId="36" xfId="48" applyNumberFormat="1" applyFont="1" applyFill="1" applyBorder="1" applyAlignment="1">
      <alignment horizontal="left"/>
      <protection/>
    </xf>
    <xf numFmtId="49" fontId="16" fillId="0" borderId="27" xfId="48" applyNumberFormat="1" applyFont="1" applyFill="1" applyBorder="1" applyAlignment="1">
      <alignment horizontal="left"/>
      <protection/>
    </xf>
    <xf numFmtId="4" fontId="20" fillId="0" borderId="37" xfId="48" applyNumberFormat="1" applyFont="1" applyFill="1" applyBorder="1" applyAlignment="1" applyProtection="1">
      <alignment/>
      <protection/>
    </xf>
    <xf numFmtId="4" fontId="20" fillId="0" borderId="38" xfId="48" applyNumberFormat="1" applyFont="1" applyFill="1" applyBorder="1" applyAlignment="1" applyProtection="1">
      <alignment/>
      <protection/>
    </xf>
    <xf numFmtId="4" fontId="20" fillId="0" borderId="18" xfId="48" applyNumberFormat="1" applyFont="1" applyFill="1" applyBorder="1" applyAlignment="1" applyProtection="1">
      <alignment/>
      <protection/>
    </xf>
    <xf numFmtId="4" fontId="6" fillId="0" borderId="34" xfId="48" applyNumberFormat="1" applyFont="1" applyFill="1" applyBorder="1" applyAlignment="1" applyProtection="1">
      <alignment/>
      <protection locked="0"/>
    </xf>
    <xf numFmtId="4" fontId="20" fillId="0" borderId="32" xfId="48" applyNumberFormat="1" applyFont="1" applyFill="1" applyBorder="1" applyAlignment="1" applyProtection="1">
      <alignment/>
      <protection/>
    </xf>
    <xf numFmtId="4" fontId="6" fillId="0" borderId="39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Alignment="1" applyProtection="1">
      <alignment/>
      <protection locked="0"/>
    </xf>
    <xf numFmtId="4" fontId="6" fillId="0" borderId="41" xfId="48" applyNumberFormat="1" applyFont="1" applyFill="1" applyBorder="1" applyAlignment="1" applyProtection="1">
      <alignment/>
      <protection/>
    </xf>
    <xf numFmtId="4" fontId="6" fillId="0" borderId="42" xfId="48" applyNumberFormat="1" applyFont="1" applyFill="1" applyBorder="1" applyAlignment="1" applyProtection="1">
      <alignment/>
      <protection/>
    </xf>
    <xf numFmtId="4" fontId="20" fillId="0" borderId="43" xfId="48" applyNumberFormat="1" applyFont="1" applyFill="1" applyBorder="1" applyAlignment="1" applyProtection="1">
      <alignment/>
      <protection/>
    </xf>
    <xf numFmtId="4" fontId="6" fillId="0" borderId="37" xfId="48" applyNumberFormat="1" applyFont="1" applyFill="1" applyBorder="1" applyAlignment="1" applyProtection="1">
      <alignment/>
      <protection locked="0"/>
    </xf>
    <xf numFmtId="4" fontId="6" fillId="0" borderId="34" xfId="48" applyNumberFormat="1" applyFont="1" applyFill="1" applyBorder="1" applyAlignment="1" applyProtection="1">
      <alignment/>
      <protection/>
    </xf>
    <xf numFmtId="4" fontId="6" fillId="0" borderId="37" xfId="48" applyNumberFormat="1" applyFont="1" applyFill="1" applyBorder="1" applyAlignment="1" applyProtection="1">
      <alignment/>
      <protection/>
    </xf>
    <xf numFmtId="4" fontId="6" fillId="0" borderId="44" xfId="48" applyNumberFormat="1" applyFont="1" applyFill="1" applyBorder="1" applyAlignment="1" applyProtection="1">
      <alignment/>
      <protection/>
    </xf>
    <xf numFmtId="4" fontId="2" fillId="0" borderId="42" xfId="46" applyNumberFormat="1" applyFont="1" applyFill="1" applyBorder="1">
      <alignment/>
      <protection/>
    </xf>
    <xf numFmtId="4" fontId="2" fillId="0" borderId="45" xfId="46" applyNumberFormat="1" applyFont="1" applyBorder="1">
      <alignment/>
      <protection/>
    </xf>
    <xf numFmtId="49" fontId="16" fillId="0" borderId="11" xfId="48" applyNumberFormat="1" applyFont="1" applyFill="1" applyBorder="1" applyAlignment="1">
      <alignment horizontal="left"/>
      <protection/>
    </xf>
    <xf numFmtId="4" fontId="2" fillId="0" borderId="34" xfId="46" applyNumberFormat="1" applyFont="1" applyBorder="1">
      <alignment/>
      <protection/>
    </xf>
    <xf numFmtId="4" fontId="2" fillId="0" borderId="38" xfId="46" applyNumberFormat="1" applyFont="1" applyFill="1" applyBorder="1">
      <alignment/>
      <protection/>
    </xf>
    <xf numFmtId="4" fontId="2" fillId="0" borderId="32" xfId="46" applyNumberFormat="1" applyFont="1" applyFill="1" applyBorder="1">
      <alignment/>
      <protection/>
    </xf>
    <xf numFmtId="4" fontId="2" fillId="0" borderId="38" xfId="46" applyNumberFormat="1" applyFont="1" applyBorder="1">
      <alignment/>
      <protection/>
    </xf>
    <xf numFmtId="4" fontId="2" fillId="0" borderId="32" xfId="46" applyNumberFormat="1" applyFont="1" applyBorder="1">
      <alignment/>
      <protection/>
    </xf>
    <xf numFmtId="4" fontId="2" fillId="0" borderId="43" xfId="46" applyNumberFormat="1" applyFont="1" applyFill="1" applyBorder="1">
      <alignment/>
      <protection/>
    </xf>
    <xf numFmtId="4" fontId="2" fillId="35" borderId="38" xfId="46" applyNumberFormat="1" applyFont="1" applyFill="1" applyBorder="1">
      <alignment/>
      <protection/>
    </xf>
    <xf numFmtId="4" fontId="6" fillId="0" borderId="45" xfId="46" applyNumberFormat="1" applyFont="1" applyBorder="1" applyAlignment="1" applyProtection="1">
      <alignment/>
      <protection/>
    </xf>
    <xf numFmtId="4" fontId="6" fillId="0" borderId="40" xfId="46" applyNumberFormat="1" applyFont="1" applyBorder="1" applyAlignment="1" applyProtection="1">
      <alignment/>
      <protection locked="0"/>
    </xf>
    <xf numFmtId="4" fontId="6" fillId="0" borderId="40" xfId="46" applyNumberFormat="1" applyFont="1" applyBorder="1" applyAlignment="1" applyProtection="1">
      <alignment/>
      <protection/>
    </xf>
    <xf numFmtId="4" fontId="6" fillId="0" borderId="42" xfId="46" applyNumberFormat="1" applyFont="1" applyBorder="1" applyProtection="1">
      <alignment/>
      <protection locked="0"/>
    </xf>
    <xf numFmtId="4" fontId="20" fillId="0" borderId="45" xfId="48" applyNumberFormat="1" applyFont="1" applyFill="1" applyBorder="1" applyAlignment="1" applyProtection="1" quotePrefix="1">
      <alignment/>
      <protection locked="0"/>
    </xf>
    <xf numFmtId="4" fontId="2" fillId="0" borderId="40" xfId="46" applyNumberFormat="1" applyFont="1" applyBorder="1" applyAlignment="1" applyProtection="1">
      <alignment/>
      <protection/>
    </xf>
    <xf numFmtId="4" fontId="6" fillId="0" borderId="40" xfId="46" applyNumberFormat="1" applyFont="1" applyBorder="1" applyProtection="1">
      <alignment/>
      <protection locked="0"/>
    </xf>
    <xf numFmtId="4" fontId="6" fillId="35" borderId="38" xfId="46" applyNumberFormat="1" applyFont="1" applyFill="1" applyBorder="1" applyAlignment="1" applyProtection="1">
      <alignment/>
      <protection locked="0"/>
    </xf>
    <xf numFmtId="4" fontId="6" fillId="0" borderId="46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10" fontId="25" fillId="0" borderId="0" xfId="0" applyNumberFormat="1" applyFont="1" applyFill="1" applyBorder="1" applyAlignment="1">
      <alignment wrapText="1"/>
    </xf>
    <xf numFmtId="0" fontId="3" fillId="0" borderId="0" xfId="46" applyFont="1" applyFill="1">
      <alignment/>
      <protection/>
    </xf>
    <xf numFmtId="4" fontId="20" fillId="0" borderId="47" xfId="48" applyNumberFormat="1" applyFont="1" applyFill="1" applyBorder="1" applyAlignment="1" applyProtection="1">
      <alignment/>
      <protection/>
    </xf>
    <xf numFmtId="4" fontId="6" fillId="0" borderId="33" xfId="48" applyNumberFormat="1" applyFont="1" applyFill="1" applyBorder="1" applyProtection="1">
      <alignment/>
      <protection locked="0"/>
    </xf>
    <xf numFmtId="4" fontId="6" fillId="0" borderId="33" xfId="48" applyNumberFormat="1" applyFont="1" applyFill="1" applyBorder="1" applyAlignment="1" applyProtection="1">
      <alignment/>
      <protection/>
    </xf>
    <xf numFmtId="4" fontId="6" fillId="0" borderId="48" xfId="48" applyNumberFormat="1" applyFont="1" applyFill="1" applyBorder="1" applyAlignment="1" applyProtection="1">
      <alignment/>
      <protection/>
    </xf>
    <xf numFmtId="4" fontId="20" fillId="0" borderId="48" xfId="48" applyNumberFormat="1" applyFont="1" applyFill="1" applyBorder="1" applyAlignment="1" applyProtection="1">
      <alignment/>
      <protection/>
    </xf>
    <xf numFmtId="4" fontId="6" fillId="0" borderId="47" xfId="48" applyNumberFormat="1" applyFont="1" applyFill="1" applyBorder="1" applyProtection="1">
      <alignment/>
      <protection locked="0"/>
    </xf>
    <xf numFmtId="3" fontId="20" fillId="0" borderId="32" xfId="48" applyNumberFormat="1" applyFont="1" applyFill="1" applyBorder="1" applyAlignment="1" applyProtection="1">
      <alignment/>
      <protection/>
    </xf>
    <xf numFmtId="4" fontId="6" fillId="0" borderId="47" xfId="48" applyNumberFormat="1" applyFont="1" applyFill="1" applyBorder="1" applyAlignment="1" applyProtection="1">
      <alignment/>
      <protection/>
    </xf>
    <xf numFmtId="4" fontId="6" fillId="0" borderId="33" xfId="48" applyNumberFormat="1" applyFont="1" applyFill="1" applyBorder="1" applyProtection="1">
      <alignment/>
      <protection/>
    </xf>
    <xf numFmtId="4" fontId="20" fillId="0" borderId="33" xfId="48" applyNumberFormat="1" applyFont="1" applyFill="1" applyBorder="1" applyProtection="1">
      <alignment/>
      <protection/>
    </xf>
    <xf numFmtId="4" fontId="6" fillId="0" borderId="33" xfId="46" applyNumberFormat="1" applyFont="1" applyBorder="1" applyProtection="1">
      <alignment/>
      <protection/>
    </xf>
    <xf numFmtId="4" fontId="6" fillId="0" borderId="48" xfId="48" applyNumberFormat="1" applyFont="1" applyFill="1" applyBorder="1" applyProtection="1">
      <alignment/>
      <protection locked="0"/>
    </xf>
    <xf numFmtId="4" fontId="6" fillId="0" borderId="47" xfId="46" applyNumberFormat="1" applyFont="1" applyFill="1" applyBorder="1" applyProtection="1">
      <alignment/>
      <protection locked="0"/>
    </xf>
    <xf numFmtId="4" fontId="6" fillId="0" borderId="48" xfId="46" applyNumberFormat="1" applyFont="1" applyBorder="1" applyProtection="1">
      <alignment/>
      <protection locked="0"/>
    </xf>
    <xf numFmtId="4" fontId="6" fillId="0" borderId="32" xfId="46" applyNumberFormat="1" applyFont="1" applyBorder="1" applyProtection="1">
      <alignment/>
      <protection locked="0"/>
    </xf>
    <xf numFmtId="4" fontId="6" fillId="0" borderId="48" xfId="46" applyNumberFormat="1" applyFont="1" applyFill="1" applyBorder="1" applyProtection="1">
      <alignment/>
      <protection locked="0"/>
    </xf>
    <xf numFmtId="4" fontId="6" fillId="35" borderId="32" xfId="46" applyNumberFormat="1" applyFont="1" applyFill="1" applyBorder="1">
      <alignment/>
      <protection/>
    </xf>
    <xf numFmtId="4" fontId="6" fillId="0" borderId="32" xfId="46" applyNumberFormat="1" applyFont="1" applyBorder="1" applyAlignment="1" applyProtection="1">
      <alignment/>
      <protection/>
    </xf>
    <xf numFmtId="4" fontId="6" fillId="0" borderId="33" xfId="46" applyNumberFormat="1" applyFont="1" applyBorder="1" applyProtection="1">
      <alignment/>
      <protection locked="0"/>
    </xf>
    <xf numFmtId="4" fontId="6" fillId="35" borderId="33" xfId="46" applyNumberFormat="1" applyFont="1" applyFill="1" applyBorder="1" applyProtection="1">
      <alignment/>
      <protection locked="0"/>
    </xf>
    <xf numFmtId="4" fontId="6" fillId="0" borderId="33" xfId="46" applyNumberFormat="1" applyFont="1" applyBorder="1" applyAlignment="1" applyProtection="1">
      <alignment/>
      <protection/>
    </xf>
    <xf numFmtId="4" fontId="20" fillId="0" borderId="32" xfId="48" applyNumberFormat="1" applyFont="1" applyFill="1" applyBorder="1" applyProtection="1">
      <alignment/>
      <protection locked="0"/>
    </xf>
    <xf numFmtId="4" fontId="6" fillId="0" borderId="32" xfId="46" applyNumberFormat="1" applyFont="1" applyBorder="1" applyProtection="1">
      <alignment/>
      <protection/>
    </xf>
    <xf numFmtId="4" fontId="2" fillId="0" borderId="33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3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0" fontId="13" fillId="33" borderId="49" xfId="48" applyFont="1" applyFill="1" applyBorder="1">
      <alignment/>
      <protection/>
    </xf>
    <xf numFmtId="0" fontId="26" fillId="36" borderId="0" xfId="48" applyFont="1" applyFill="1" applyBorder="1" applyAlignment="1">
      <alignment/>
      <protection/>
    </xf>
    <xf numFmtId="4" fontId="24" fillId="39" borderId="50" xfId="48" applyNumberFormat="1" applyFont="1" applyFill="1" applyBorder="1" applyAlignment="1" applyProtection="1">
      <alignment horizontal="center"/>
      <protection locked="0"/>
    </xf>
    <xf numFmtId="0" fontId="23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36" borderId="0" xfId="48" applyFont="1" applyFill="1" applyBorder="1">
      <alignment/>
      <protection/>
    </xf>
    <xf numFmtId="3" fontId="0" fillId="41" borderId="13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" fillId="36" borderId="0" xfId="48" applyFont="1" applyFill="1" applyBorder="1">
      <alignment/>
      <protection/>
    </xf>
    <xf numFmtId="0" fontId="3" fillId="36" borderId="0" xfId="46" applyFont="1" applyFill="1" applyBorder="1" applyAlignment="1">
      <alignment horizontal="left"/>
      <protection/>
    </xf>
    <xf numFmtId="4" fontId="24" fillId="39" borderId="37" xfId="48" applyNumberFormat="1" applyFont="1" applyFill="1" applyBorder="1" applyAlignment="1" applyProtection="1">
      <alignment horizontal="left" wrapText="1"/>
      <protection locked="0"/>
    </xf>
    <xf numFmtId="0" fontId="23" fillId="40" borderId="0" xfId="0" applyFont="1" applyFill="1" applyAlignment="1">
      <alignment wrapText="1"/>
    </xf>
    <xf numFmtId="4" fontId="6" fillId="42" borderId="37" xfId="48" applyNumberFormat="1" applyFont="1" applyFill="1" applyBorder="1" applyAlignment="1" applyProtection="1">
      <alignment/>
      <protection/>
    </xf>
    <xf numFmtId="4" fontId="6" fillId="42" borderId="43" xfId="48" applyNumberFormat="1" applyFont="1" applyFill="1" applyBorder="1" applyAlignment="1" applyProtection="1">
      <alignment/>
      <protection/>
    </xf>
    <xf numFmtId="0" fontId="1" fillId="43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0" fillId="44" borderId="0" xfId="0" applyFont="1" applyFill="1" applyAlignment="1">
      <alignment/>
    </xf>
    <xf numFmtId="0" fontId="1" fillId="34" borderId="45" xfId="0" applyNumberFormat="1" applyFont="1" applyFill="1" applyBorder="1" applyAlignment="1">
      <alignment horizontal="center" wrapText="1"/>
    </xf>
    <xf numFmtId="0" fontId="21" fillId="0" borderId="0" xfId="0" applyFont="1" applyFill="1" applyAlignment="1" applyProtection="1">
      <alignment/>
      <protection/>
    </xf>
    <xf numFmtId="4" fontId="2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3" fontId="21" fillId="0" borderId="0" xfId="0" applyNumberFormat="1" applyFont="1" applyFill="1" applyAlignment="1" applyProtection="1">
      <alignment/>
      <protection/>
    </xf>
    <xf numFmtId="0" fontId="3" fillId="0" borderId="19" xfId="46" applyFont="1" applyFill="1" applyBorder="1">
      <alignment/>
      <protection/>
    </xf>
    <xf numFmtId="0" fontId="14" fillId="0" borderId="20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21" fillId="45" borderId="26" xfId="46" applyFont="1" applyFill="1" applyBorder="1" applyAlignment="1">
      <alignment horizontal="left"/>
      <protection/>
    </xf>
    <xf numFmtId="0" fontId="13" fillId="46" borderId="0" xfId="46" applyFont="1" applyFill="1" applyAlignment="1">
      <alignment wrapText="1"/>
      <protection/>
    </xf>
    <xf numFmtId="0" fontId="0" fillId="0" borderId="0" xfId="0" applyAlignment="1">
      <alignment/>
    </xf>
    <xf numFmtId="0" fontId="1" fillId="0" borderId="51" xfId="0" applyFont="1" applyBorder="1" applyAlignment="1">
      <alignment horizontal="left"/>
    </xf>
    <xf numFmtId="0" fontId="13" fillId="40" borderId="0" xfId="0" applyFont="1" applyFill="1" applyAlignment="1">
      <alignment/>
    </xf>
    <xf numFmtId="0" fontId="2" fillId="0" borderId="52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2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7" fillId="41" borderId="52" xfId="0" applyFont="1" applyFill="1" applyBorder="1" applyAlignment="1">
      <alignment horizontal="left"/>
    </xf>
    <xf numFmtId="3" fontId="0" fillId="41" borderId="14" xfId="0" applyNumberFormat="1" applyFont="1" applyFill="1" applyBorder="1" applyAlignment="1">
      <alignment/>
    </xf>
    <xf numFmtId="3" fontId="0" fillId="41" borderId="15" xfId="0" applyNumberFormat="1" applyFont="1" applyFill="1" applyBorder="1" applyAlignment="1">
      <alignment/>
    </xf>
    <xf numFmtId="0" fontId="0" fillId="41" borderId="0" xfId="0" applyFill="1" applyAlignment="1">
      <alignment/>
    </xf>
    <xf numFmtId="0" fontId="1" fillId="36" borderId="11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0" fillId="47" borderId="0" xfId="0" applyFill="1" applyAlignment="1">
      <alignment/>
    </xf>
    <xf numFmtId="3" fontId="0" fillId="0" borderId="0" xfId="0" applyNumberFormat="1" applyFill="1" applyAlignment="1">
      <alignment/>
    </xf>
    <xf numFmtId="3" fontId="0" fillId="36" borderId="14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3" fontId="0" fillId="36" borderId="14" xfId="0" applyNumberFormat="1" applyFont="1" applyFill="1" applyBorder="1" applyAlignment="1">
      <alignment/>
    </xf>
    <xf numFmtId="3" fontId="0" fillId="48" borderId="14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71" fillId="0" borderId="0" xfId="0" applyFont="1" applyAlignment="1">
      <alignment/>
    </xf>
    <xf numFmtId="0" fontId="0" fillId="0" borderId="11" xfId="0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" fillId="39" borderId="14" xfId="0" applyNumberFormat="1" applyFont="1" applyFill="1" applyBorder="1" applyAlignment="1">
      <alignment/>
    </xf>
    <xf numFmtId="3" fontId="1" fillId="49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0" fillId="35" borderId="53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44" borderId="0" xfId="0" applyFont="1" applyFill="1" applyAlignment="1">
      <alignment/>
    </xf>
    <xf numFmtId="0" fontId="8" fillId="0" borderId="0" xfId="0" applyFont="1" applyAlignment="1">
      <alignment/>
    </xf>
    <xf numFmtId="3" fontId="1" fillId="35" borderId="14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0" fillId="35" borderId="30" xfId="0" applyNumberFormat="1" applyFont="1" applyFill="1" applyBorder="1" applyAlignment="1">
      <alignment/>
    </xf>
    <xf numFmtId="0" fontId="0" fillId="44" borderId="0" xfId="0" applyFill="1" applyAlignment="1">
      <alignment/>
    </xf>
    <xf numFmtId="0" fontId="1" fillId="0" borderId="0" xfId="0" applyFont="1" applyFill="1" applyAlignment="1">
      <alignment/>
    </xf>
    <xf numFmtId="49" fontId="28" fillId="50" borderId="55" xfId="0" applyNumberFormat="1" applyFont="1" applyFill="1" applyBorder="1" applyAlignment="1">
      <alignment horizontal="left" wrapText="1"/>
    </xf>
    <xf numFmtId="49" fontId="28" fillId="50" borderId="55" xfId="0" applyNumberFormat="1" applyFont="1" applyFill="1" applyBorder="1" applyAlignment="1">
      <alignment horizontal="left"/>
    </xf>
    <xf numFmtId="3" fontId="1" fillId="51" borderId="14" xfId="0" applyNumberFormat="1" applyFont="1" applyFill="1" applyBorder="1" applyAlignment="1">
      <alignment/>
    </xf>
    <xf numFmtId="0" fontId="29" fillId="36" borderId="56" xfId="46" applyFont="1" applyFill="1" applyBorder="1" applyAlignment="1">
      <alignment wrapText="1"/>
      <protection/>
    </xf>
    <xf numFmtId="0" fontId="29" fillId="36" borderId="57" xfId="46" applyFont="1" applyFill="1" applyBorder="1" applyAlignment="1">
      <alignment horizontal="center"/>
      <protection/>
    </xf>
    <xf numFmtId="4" fontId="24" fillId="44" borderId="14" xfId="46" applyNumberFormat="1" applyFont="1" applyFill="1" applyBorder="1" applyAlignment="1" applyProtection="1">
      <alignment wrapText="1"/>
      <protection locked="0"/>
    </xf>
    <xf numFmtId="3" fontId="0" fillId="52" borderId="14" xfId="0" applyNumberFormat="1" applyFont="1" applyFill="1" applyBorder="1" applyAlignment="1">
      <alignment/>
    </xf>
    <xf numFmtId="3" fontId="0" fillId="51" borderId="14" xfId="0" applyNumberFormat="1" applyFont="1" applyFill="1" applyBorder="1" applyAlignment="1">
      <alignment/>
    </xf>
    <xf numFmtId="0" fontId="1" fillId="44" borderId="0" xfId="0" applyFont="1" applyFill="1" applyAlignment="1">
      <alignment/>
    </xf>
    <xf numFmtId="3" fontId="0" fillId="48" borderId="58" xfId="0" applyNumberFormat="1" applyFont="1" applyFill="1" applyBorder="1" applyAlignment="1">
      <alignment horizontal="right"/>
    </xf>
    <xf numFmtId="3" fontId="0" fillId="48" borderId="15" xfId="0" applyNumberFormat="1" applyFont="1" applyFill="1" applyBorder="1" applyAlignment="1">
      <alignment/>
    </xf>
    <xf numFmtId="0" fontId="0" fillId="44" borderId="0" xfId="0" applyFont="1" applyFill="1" applyAlignment="1">
      <alignment/>
    </xf>
    <xf numFmtId="0" fontId="1" fillId="34" borderId="18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Border="1" applyAlignment="1">
      <alignment horizontal="center" wrapText="1"/>
    </xf>
    <xf numFmtId="3" fontId="0" fillId="36" borderId="15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/>
    </xf>
    <xf numFmtId="3" fontId="0" fillId="53" borderId="15" xfId="0" applyNumberFormat="1" applyFont="1" applyFill="1" applyBorder="1" applyAlignment="1">
      <alignment/>
    </xf>
    <xf numFmtId="0" fontId="3" fillId="36" borderId="0" xfId="46" applyFont="1" applyFill="1">
      <alignment/>
      <protection/>
    </xf>
    <xf numFmtId="3" fontId="0" fillId="54" borderId="53" xfId="0" applyNumberFormat="1" applyFont="1" applyFill="1" applyBorder="1" applyAlignment="1">
      <alignment horizontal="right"/>
    </xf>
    <xf numFmtId="0" fontId="1" fillId="54" borderId="0" xfId="0" applyFont="1" applyFill="1" applyAlignment="1">
      <alignment/>
    </xf>
    <xf numFmtId="0" fontId="0" fillId="54" borderId="0" xfId="0" applyFill="1" applyAlignment="1">
      <alignment/>
    </xf>
    <xf numFmtId="0" fontId="0" fillId="41" borderId="0" xfId="0" applyFont="1" applyFill="1" applyAlignment="1">
      <alignment/>
    </xf>
    <xf numFmtId="0" fontId="1" fillId="55" borderId="0" xfId="0" applyFont="1" applyFill="1" applyAlignment="1">
      <alignment/>
    </xf>
    <xf numFmtId="3" fontId="0" fillId="54" borderId="59" xfId="0" applyNumberFormat="1" applyFont="1" applyFill="1" applyBorder="1" applyAlignment="1">
      <alignment horizontal="right"/>
    </xf>
    <xf numFmtId="3" fontId="0" fillId="48" borderId="13" xfId="0" applyNumberFormat="1" applyFont="1" applyFill="1" applyBorder="1" applyAlignment="1">
      <alignment wrapText="1"/>
    </xf>
    <xf numFmtId="3" fontId="0" fillId="56" borderId="13" xfId="0" applyNumberFormat="1" applyFont="1" applyFill="1" applyBorder="1" applyAlignment="1">
      <alignment wrapText="1"/>
    </xf>
    <xf numFmtId="3" fontId="0" fillId="56" borderId="15" xfId="0" applyNumberFormat="1" applyFont="1" applyFill="1" applyBorder="1" applyAlignment="1">
      <alignment wrapText="1"/>
    </xf>
    <xf numFmtId="4" fontId="6" fillId="56" borderId="33" xfId="46" applyNumberFormat="1" applyFont="1" applyFill="1" applyBorder="1" applyProtection="1">
      <alignment/>
      <protection locked="0"/>
    </xf>
    <xf numFmtId="0" fontId="13" fillId="0" borderId="23" xfId="48" applyFont="1" applyBorder="1">
      <alignment/>
      <protection/>
    </xf>
    <xf numFmtId="4" fontId="12" fillId="0" borderId="37" xfId="48" applyNumberFormat="1" applyFont="1" applyFill="1" applyBorder="1" applyAlignment="1" applyProtection="1">
      <alignment wrapText="1"/>
      <protection locked="0"/>
    </xf>
    <xf numFmtId="0" fontId="3" fillId="0" borderId="0" xfId="48" applyFont="1" applyFill="1" applyBorder="1" applyAlignment="1">
      <alignment horizontal="left"/>
      <protection/>
    </xf>
    <xf numFmtId="4" fontId="12" fillId="0" borderId="44" xfId="48" applyNumberFormat="1" applyFont="1" applyFill="1" applyBorder="1" applyAlignment="1" applyProtection="1">
      <alignment wrapText="1"/>
      <protection locked="0"/>
    </xf>
    <xf numFmtId="4" fontId="6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36" borderId="0" xfId="46" applyFont="1" applyFill="1" applyBorder="1" applyAlignment="1">
      <alignment horizontal="left"/>
      <protection/>
    </xf>
    <xf numFmtId="0" fontId="1" fillId="44" borderId="0" xfId="0" applyFont="1" applyFill="1" applyBorder="1" applyAlignment="1">
      <alignment/>
    </xf>
    <xf numFmtId="4" fontId="72" fillId="44" borderId="34" xfId="48" applyNumberFormat="1" applyFont="1" applyFill="1" applyBorder="1" applyAlignment="1" applyProtection="1">
      <alignment/>
      <protection locked="0"/>
    </xf>
    <xf numFmtId="4" fontId="72" fillId="44" borderId="34" xfId="46" applyNumberFormat="1" applyFont="1" applyFill="1" applyBorder="1">
      <alignment/>
      <protection/>
    </xf>
    <xf numFmtId="4" fontId="72" fillId="44" borderId="43" xfId="46" applyNumberFormat="1" applyFont="1" applyFill="1" applyBorder="1">
      <alignment/>
      <protection/>
    </xf>
    <xf numFmtId="4" fontId="72" fillId="44" borderId="40" xfId="46" applyNumberFormat="1" applyFont="1" applyFill="1" applyBorder="1" applyAlignment="1" applyProtection="1">
      <alignment/>
      <protection locked="0"/>
    </xf>
    <xf numFmtId="4" fontId="72" fillId="44" borderId="20" xfId="48" applyNumberFormat="1" applyFont="1" applyFill="1" applyBorder="1" applyAlignment="1" applyProtection="1">
      <alignment/>
      <protection/>
    </xf>
    <xf numFmtId="4" fontId="73" fillId="44" borderId="38" xfId="48" applyNumberFormat="1" applyFont="1" applyFill="1" applyBorder="1" applyAlignment="1" applyProtection="1">
      <alignment/>
      <protection/>
    </xf>
    <xf numFmtId="4" fontId="72" fillId="44" borderId="43" xfId="48" applyNumberFormat="1" applyFont="1" applyFill="1" applyBorder="1" applyAlignment="1" applyProtection="1">
      <alignment/>
      <protection locked="0"/>
    </xf>
    <xf numFmtId="3" fontId="0" fillId="19" borderId="14" xfId="0" applyNumberFormat="1" applyFont="1" applyFill="1" applyBorder="1" applyAlignment="1">
      <alignment/>
    </xf>
    <xf numFmtId="3" fontId="0" fillId="19" borderId="15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4" fontId="72" fillId="44" borderId="34" xfId="48" applyNumberFormat="1" applyFont="1" applyFill="1" applyBorder="1" applyAlignment="1" applyProtection="1">
      <alignment/>
      <protection/>
    </xf>
    <xf numFmtId="0" fontId="0" fillId="10" borderId="0" xfId="0" applyFill="1" applyAlignment="1">
      <alignment/>
    </xf>
    <xf numFmtId="3" fontId="74" fillId="0" borderId="14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3" fontId="75" fillId="0" borderId="14" xfId="0" applyNumberFormat="1" applyFont="1" applyFill="1" applyBorder="1" applyAlignment="1">
      <alignment/>
    </xf>
    <xf numFmtId="3" fontId="75" fillId="0" borderId="15" xfId="0" applyNumberFormat="1" applyFont="1" applyFill="1" applyBorder="1" applyAlignment="1">
      <alignment/>
    </xf>
    <xf numFmtId="0" fontId="2" fillId="19" borderId="52" xfId="0" applyFont="1" applyFill="1" applyBorder="1" applyAlignment="1">
      <alignment horizontal="left"/>
    </xf>
    <xf numFmtId="10" fontId="0" fillId="19" borderId="0" xfId="0" applyNumberFormat="1" applyFill="1" applyAlignment="1">
      <alignment/>
    </xf>
    <xf numFmtId="3" fontId="0" fillId="19" borderId="14" xfId="0" applyNumberFormat="1" applyFont="1" applyFill="1" applyBorder="1" applyAlignment="1">
      <alignment/>
    </xf>
    <xf numFmtId="3" fontId="0" fillId="19" borderId="15" xfId="0" applyNumberFormat="1" applyFont="1" applyFill="1" applyBorder="1" applyAlignment="1">
      <alignment/>
    </xf>
    <xf numFmtId="3" fontId="0" fillId="19" borderId="13" xfId="0" applyNumberFormat="1" applyFont="1" applyFill="1" applyBorder="1" applyAlignment="1">
      <alignment wrapText="1"/>
    </xf>
    <xf numFmtId="4" fontId="24" fillId="0" borderId="37" xfId="48" applyNumberFormat="1" applyFont="1" applyFill="1" applyBorder="1" applyAlignment="1" applyProtection="1">
      <alignment horizontal="left" wrapText="1"/>
      <protection locked="0"/>
    </xf>
    <xf numFmtId="4" fontId="24" fillId="0" borderId="43" xfId="48" applyNumberFormat="1" applyFont="1" applyFill="1" applyBorder="1" applyAlignment="1" applyProtection="1">
      <alignment horizontal="left" wrapText="1"/>
      <protection locked="0"/>
    </xf>
    <xf numFmtId="0" fontId="3" fillId="0" borderId="11" xfId="48" applyFont="1" applyFill="1" applyBorder="1" applyAlignment="1">
      <alignment horizontal="left"/>
      <protection/>
    </xf>
    <xf numFmtId="0" fontId="3" fillId="0" borderId="27" xfId="48" applyFont="1" applyFill="1" applyBorder="1" applyAlignment="1">
      <alignment horizontal="left"/>
      <protection/>
    </xf>
    <xf numFmtId="0" fontId="13" fillId="0" borderId="19" xfId="48" applyFont="1" applyFill="1" applyBorder="1" applyAlignment="1">
      <alignment wrapText="1"/>
      <protection/>
    </xf>
    <xf numFmtId="0" fontId="3" fillId="0" borderId="19" xfId="0" applyFont="1" applyFill="1" applyBorder="1" applyAlignment="1">
      <alignment wrapText="1"/>
    </xf>
    <xf numFmtId="0" fontId="13" fillId="0" borderId="19" xfId="48" applyFont="1" applyFill="1" applyBorder="1" applyAlignment="1">
      <alignment horizontal="left" wrapText="1"/>
      <protection/>
    </xf>
    <xf numFmtId="0" fontId="3" fillId="0" borderId="19" xfId="0" applyFont="1" applyBorder="1" applyAlignment="1">
      <alignment wrapText="1"/>
    </xf>
    <xf numFmtId="0" fontId="0" fillId="43" borderId="0" xfId="0" applyFont="1" applyFill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zoomScale="130" zoomScaleNormal="130" zoomScalePageLayoutView="0" workbookViewId="0" topLeftCell="A1">
      <pane xSplit="3" ySplit="5" topLeftCell="D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2" sqref="E32"/>
    </sheetView>
  </sheetViews>
  <sheetFormatPr defaultColWidth="9.140625" defaultRowHeight="12.75"/>
  <cols>
    <col min="1" max="1" width="11.28125" style="149" customWidth="1"/>
    <col min="2" max="2" width="5.28125" style="63" customWidth="1"/>
    <col min="3" max="3" width="40.00390625" style="63" customWidth="1"/>
    <col min="4" max="4" width="12.7109375" style="106" customWidth="1"/>
    <col min="5" max="5" width="10.28125" style="0" customWidth="1"/>
    <col min="6" max="6" width="54.28125" style="126" customWidth="1"/>
    <col min="7" max="7" width="7.140625" style="27" customWidth="1"/>
    <col min="8" max="8" width="17.140625" style="63" customWidth="1"/>
    <col min="9" max="9" width="12.421875" style="0" customWidth="1"/>
    <col min="10" max="10" width="17.140625" style="0" customWidth="1"/>
    <col min="11" max="11" width="56.28125" style="0" customWidth="1"/>
    <col min="12" max="16384" width="9.140625" style="27" customWidth="1"/>
  </cols>
  <sheetData>
    <row r="1" spans="1:11" s="63" customFormat="1" ht="35.25" customHeight="1">
      <c r="A1" s="149"/>
      <c r="B1" s="113" t="s">
        <v>292</v>
      </c>
      <c r="C1" s="125"/>
      <c r="D1" s="319" t="s">
        <v>352</v>
      </c>
      <c r="E1"/>
      <c r="F1" s="238" t="s">
        <v>309</v>
      </c>
      <c r="H1" s="317" t="s">
        <v>349</v>
      </c>
      <c r="I1"/>
      <c r="J1"/>
      <c r="K1"/>
    </row>
    <row r="2" spans="1:11" s="63" customFormat="1" ht="15" customHeight="1" thickBot="1">
      <c r="A2" s="150" t="s">
        <v>187</v>
      </c>
      <c r="B2" s="40"/>
      <c r="C2" s="44"/>
      <c r="D2" s="106"/>
      <c r="E2"/>
      <c r="F2" s="239" t="s">
        <v>311</v>
      </c>
      <c r="H2" s="318" t="s">
        <v>350</v>
      </c>
      <c r="I2"/>
      <c r="J2"/>
      <c r="K2"/>
    </row>
    <row r="3" spans="1:11" s="63" customFormat="1" ht="34.5" customHeight="1">
      <c r="A3" s="151" t="s">
        <v>5</v>
      </c>
      <c r="B3" s="68"/>
      <c r="C3" s="45"/>
      <c r="D3" s="373" t="s">
        <v>322</v>
      </c>
      <c r="E3"/>
      <c r="F3" s="148" t="s">
        <v>275</v>
      </c>
      <c r="H3" s="262"/>
      <c r="I3"/>
      <c r="J3"/>
      <c r="K3"/>
    </row>
    <row r="4" spans="1:11" s="63" customFormat="1" ht="15.75" customHeight="1" thickBot="1">
      <c r="A4" s="152" t="s">
        <v>178</v>
      </c>
      <c r="B4" s="69"/>
      <c r="C4" s="46"/>
      <c r="D4" s="374"/>
      <c r="E4"/>
      <c r="F4" s="93"/>
      <c r="H4" s="237" t="s">
        <v>397</v>
      </c>
      <c r="I4"/>
      <c r="J4"/>
      <c r="K4"/>
    </row>
    <row r="5" spans="1:11" s="63" customFormat="1" ht="51.75" customHeight="1" thickBot="1">
      <c r="A5" s="70" t="s">
        <v>283</v>
      </c>
      <c r="B5" s="87" t="s">
        <v>164</v>
      </c>
      <c r="C5" s="47"/>
      <c r="D5" s="245" t="s">
        <v>396</v>
      </c>
      <c r="E5"/>
      <c r="F5" s="93"/>
      <c r="H5" s="145" t="s">
        <v>295</v>
      </c>
      <c r="I5"/>
      <c r="J5"/>
      <c r="K5"/>
    </row>
    <row r="6" spans="1:11" s="63" customFormat="1" ht="15" customHeight="1" thickBot="1">
      <c r="A6" s="153"/>
      <c r="B6" s="98" t="s">
        <v>163</v>
      </c>
      <c r="C6" s="99"/>
      <c r="D6" s="164">
        <f>D7+D14+D15+D19</f>
        <v>3356170</v>
      </c>
      <c r="E6"/>
      <c r="F6" s="93"/>
      <c r="H6" s="200">
        <f>H7+H14+H15+H19</f>
        <v>3326101.2199999997</v>
      </c>
      <c r="I6"/>
      <c r="J6"/>
      <c r="K6"/>
    </row>
    <row r="7" spans="1:11" s="63" customFormat="1" ht="13.5" thickBot="1">
      <c r="A7" s="153">
        <v>30</v>
      </c>
      <c r="B7" s="114" t="s">
        <v>162</v>
      </c>
      <c r="C7" s="115"/>
      <c r="D7" s="165">
        <f>SUM(D8:D13)</f>
        <v>1554900</v>
      </c>
      <c r="E7"/>
      <c r="F7" s="93"/>
      <c r="H7" s="168">
        <f>SUM(H8:H13)</f>
        <v>1483932.44</v>
      </c>
      <c r="I7"/>
      <c r="J7"/>
      <c r="K7"/>
    </row>
    <row r="8" spans="1:8" ht="12.75">
      <c r="A8" s="154">
        <v>3000</v>
      </c>
      <c r="B8" s="71"/>
      <c r="C8" s="48" t="s">
        <v>161</v>
      </c>
      <c r="D8" s="167">
        <v>1535000</v>
      </c>
      <c r="H8" s="146">
        <v>1466350</v>
      </c>
    </row>
    <row r="9" spans="1:8" ht="12.75">
      <c r="A9" s="155">
        <v>3030</v>
      </c>
      <c r="B9" s="72"/>
      <c r="C9" s="48" t="s">
        <v>160</v>
      </c>
      <c r="D9" s="167">
        <v>18000</v>
      </c>
      <c r="H9" s="146">
        <v>17000</v>
      </c>
    </row>
    <row r="10" spans="1:8" ht="12.75">
      <c r="A10" s="155">
        <v>3034</v>
      </c>
      <c r="B10" s="72"/>
      <c r="C10" s="48" t="s">
        <v>159</v>
      </c>
      <c r="D10" s="167"/>
      <c r="H10" s="201"/>
    </row>
    <row r="11" spans="1:8" ht="12.75">
      <c r="A11" s="155">
        <v>3044</v>
      </c>
      <c r="B11" s="72"/>
      <c r="C11" s="48" t="s">
        <v>158</v>
      </c>
      <c r="D11" s="167">
        <v>900</v>
      </c>
      <c r="H11" s="201">
        <v>429.06</v>
      </c>
    </row>
    <row r="12" spans="1:8" ht="12.75">
      <c r="A12" s="155">
        <v>3045</v>
      </c>
      <c r="B12" s="72"/>
      <c r="C12" s="48" t="s">
        <v>157</v>
      </c>
      <c r="D12" s="167">
        <v>1000</v>
      </c>
      <c r="H12" s="201">
        <v>153.38</v>
      </c>
    </row>
    <row r="13" spans="1:8" ht="13.5" thickBot="1">
      <c r="A13" s="156">
        <v>3047</v>
      </c>
      <c r="B13" s="72"/>
      <c r="C13" s="49" t="s">
        <v>156</v>
      </c>
      <c r="D13" s="167"/>
      <c r="H13" s="201"/>
    </row>
    <row r="14" spans="1:11" s="63" customFormat="1" ht="13.5" thickBot="1">
      <c r="A14" s="157">
        <v>32</v>
      </c>
      <c r="B14" s="116" t="s">
        <v>155</v>
      </c>
      <c r="C14" s="115"/>
      <c r="D14" s="355">
        <f>531370+3000</f>
        <v>534370</v>
      </c>
      <c r="E14"/>
      <c r="F14" s="93"/>
      <c r="H14" s="168">
        <v>551457.69</v>
      </c>
      <c r="I14"/>
      <c r="J14"/>
      <c r="K14"/>
    </row>
    <row r="15" spans="1:11" s="63" customFormat="1" ht="13.5" thickBot="1">
      <c r="A15" s="153"/>
      <c r="B15" s="116" t="s">
        <v>179</v>
      </c>
      <c r="C15" s="115"/>
      <c r="D15" s="166">
        <f>D16+D17+D18</f>
        <v>1259900</v>
      </c>
      <c r="E15"/>
      <c r="F15" s="127"/>
      <c r="H15" s="168">
        <f>H16+H17+H18</f>
        <v>1286814.98</v>
      </c>
      <c r="I15"/>
      <c r="J15"/>
      <c r="K15"/>
    </row>
    <row r="16" spans="1:8" ht="12.75">
      <c r="A16" s="155">
        <v>35200</v>
      </c>
      <c r="B16" s="72"/>
      <c r="C16" s="48" t="s">
        <v>366</v>
      </c>
      <c r="D16" s="169">
        <v>400933</v>
      </c>
      <c r="F16" s="127" t="s">
        <v>308</v>
      </c>
      <c r="H16" s="202">
        <v>356811</v>
      </c>
    </row>
    <row r="17" spans="1:8" ht="12.75">
      <c r="A17" s="155">
        <v>35201</v>
      </c>
      <c r="B17" s="72"/>
      <c r="C17" s="49" t="s">
        <v>367</v>
      </c>
      <c r="D17" s="170">
        <v>845020</v>
      </c>
      <c r="F17" s="127" t="s">
        <v>368</v>
      </c>
      <c r="H17" s="202">
        <v>828595</v>
      </c>
    </row>
    <row r="18" spans="1:8" ht="13.5" thickBot="1">
      <c r="A18" s="156" t="s">
        <v>188</v>
      </c>
      <c r="B18" s="74"/>
      <c r="C18" s="51" t="s">
        <v>274</v>
      </c>
      <c r="D18" s="172">
        <v>13947</v>
      </c>
      <c r="F18" s="93" t="s">
        <v>372</v>
      </c>
      <c r="H18" s="203">
        <v>101408.98</v>
      </c>
    </row>
    <row r="19" spans="1:11" s="63" customFormat="1" ht="13.5" thickBot="1">
      <c r="A19" s="153"/>
      <c r="B19" s="116" t="s">
        <v>154</v>
      </c>
      <c r="C19" s="235"/>
      <c r="D19" s="165">
        <f>SUM(D20:D23)</f>
        <v>7000</v>
      </c>
      <c r="E19"/>
      <c r="F19" s="144"/>
      <c r="H19" s="168">
        <f>SUM(H20:H23)</f>
        <v>3896.11</v>
      </c>
      <c r="I19"/>
      <c r="J19"/>
      <c r="K19"/>
    </row>
    <row r="20" spans="1:8" ht="12.75">
      <c r="A20" s="154" t="s">
        <v>327</v>
      </c>
      <c r="B20" s="72"/>
      <c r="C20" s="35" t="s">
        <v>303</v>
      </c>
      <c r="D20" s="233"/>
      <c r="F20" s="126" t="s">
        <v>293</v>
      </c>
      <c r="H20" s="201"/>
    </row>
    <row r="21" spans="1:8" ht="12.75">
      <c r="A21" s="155" t="s">
        <v>328</v>
      </c>
      <c r="B21" s="72"/>
      <c r="C21" s="48" t="s">
        <v>284</v>
      </c>
      <c r="D21" s="234">
        <v>3000</v>
      </c>
      <c r="H21" s="201">
        <v>3200</v>
      </c>
    </row>
    <row r="22" spans="1:11" s="63" customFormat="1" ht="12.75">
      <c r="A22" s="155">
        <v>3882</v>
      </c>
      <c r="B22" s="72"/>
      <c r="C22" s="48" t="s">
        <v>304</v>
      </c>
      <c r="D22" s="346">
        <v>200</v>
      </c>
      <c r="E22" s="347"/>
      <c r="F22" s="93"/>
      <c r="H22" s="202"/>
      <c r="I22"/>
      <c r="J22"/>
      <c r="K22"/>
    </row>
    <row r="23" spans="1:11" s="63" customFormat="1" ht="13.5" thickBot="1">
      <c r="A23" s="156" t="s">
        <v>296</v>
      </c>
      <c r="B23" s="74"/>
      <c r="C23" s="50" t="s">
        <v>305</v>
      </c>
      <c r="D23" s="354">
        <f>300+3500</f>
        <v>3800</v>
      </c>
      <c r="E23"/>
      <c r="F23" s="143" t="s">
        <v>319</v>
      </c>
      <c r="H23" s="203">
        <v>696.11</v>
      </c>
      <c r="I23"/>
      <c r="J23"/>
      <c r="K23"/>
    </row>
    <row r="24" spans="1:11" s="63" customFormat="1" ht="13.5" thickBot="1">
      <c r="A24" s="158"/>
      <c r="B24" s="100" t="s">
        <v>153</v>
      </c>
      <c r="C24" s="101"/>
      <c r="D24" s="173">
        <f>D25+D30</f>
        <v>-3240224.98</v>
      </c>
      <c r="E24"/>
      <c r="F24"/>
      <c r="H24" s="204">
        <f>H25+H30</f>
        <v>-3104090.8</v>
      </c>
      <c r="I24"/>
      <c r="J24"/>
      <c r="K24"/>
    </row>
    <row r="25" spans="1:11" s="63" customFormat="1" ht="13.5" thickBot="1">
      <c r="A25" s="159"/>
      <c r="B25" s="117" t="s">
        <v>180</v>
      </c>
      <c r="C25" s="118"/>
      <c r="D25" s="173">
        <f>D26+D27+D28+D29</f>
        <v>-245363.36</v>
      </c>
      <c r="E25"/>
      <c r="F25" s="127"/>
      <c r="H25" s="204">
        <f>H26+H27+H28+H29</f>
        <v>-214235.61000000002</v>
      </c>
      <c r="I25"/>
      <c r="J25"/>
      <c r="K25"/>
    </row>
    <row r="26" spans="1:8" ht="12.75">
      <c r="A26" s="154">
        <v>40</v>
      </c>
      <c r="B26" s="71"/>
      <c r="C26" s="52" t="s">
        <v>152</v>
      </c>
      <c r="D26" s="174"/>
      <c r="H26" s="205">
        <v>0</v>
      </c>
    </row>
    <row r="27" spans="1:8" ht="12.75">
      <c r="A27" s="155">
        <v>413</v>
      </c>
      <c r="B27" s="72"/>
      <c r="C27" s="35" t="s">
        <v>181</v>
      </c>
      <c r="D27" s="175">
        <v>-96411.36</v>
      </c>
      <c r="H27" s="202">
        <v>-62461.13</v>
      </c>
    </row>
    <row r="28" spans="1:8" ht="12.75">
      <c r="A28" s="155">
        <v>4500</v>
      </c>
      <c r="B28" s="72"/>
      <c r="C28" s="53" t="s">
        <v>182</v>
      </c>
      <c r="D28" s="175">
        <v>-1918</v>
      </c>
      <c r="H28" s="202">
        <v>0</v>
      </c>
    </row>
    <row r="29" spans="1:8" ht="13.5" thickBot="1">
      <c r="A29" s="160">
        <v>452</v>
      </c>
      <c r="B29" s="76"/>
      <c r="C29" s="36" t="s">
        <v>183</v>
      </c>
      <c r="D29" s="167">
        <v>-147034</v>
      </c>
      <c r="H29" s="201">
        <v>-151774.48</v>
      </c>
    </row>
    <row r="30" spans="1:11" s="63" customFormat="1" ht="13.5" thickBot="1">
      <c r="A30" s="157"/>
      <c r="B30" s="116" t="s">
        <v>151</v>
      </c>
      <c r="C30" s="115"/>
      <c r="D30" s="165">
        <f>D31+D32+D33</f>
        <v>-2994861.62</v>
      </c>
      <c r="E30"/>
      <c r="F30" s="93"/>
      <c r="H30" s="206">
        <f>H31+H32+H33</f>
        <v>-2889855.19</v>
      </c>
      <c r="I30"/>
      <c r="J30"/>
      <c r="K30"/>
    </row>
    <row r="31" spans="1:8" ht="12.75">
      <c r="A31" s="155">
        <v>50</v>
      </c>
      <c r="B31" s="72"/>
      <c r="C31" s="48" t="s">
        <v>150</v>
      </c>
      <c r="D31" s="176">
        <v>-2114983.29</v>
      </c>
      <c r="H31" s="207">
        <v>-1997974.3</v>
      </c>
    </row>
    <row r="32" spans="1:8" ht="12.75">
      <c r="A32" s="155">
        <v>55</v>
      </c>
      <c r="B32" s="72"/>
      <c r="C32" s="48" t="s">
        <v>149</v>
      </c>
      <c r="D32" s="175">
        <f>-869369.28</f>
        <v>-869369.28</v>
      </c>
      <c r="H32" s="201">
        <v>-891773.13</v>
      </c>
    </row>
    <row r="33" spans="1:11" s="63" customFormat="1" ht="13.5" thickBot="1">
      <c r="A33" s="156">
        <v>60</v>
      </c>
      <c r="B33" s="74"/>
      <c r="C33" s="50" t="s">
        <v>148</v>
      </c>
      <c r="D33" s="356">
        <f>-14009.05+3500</f>
        <v>-10509.05</v>
      </c>
      <c r="E33"/>
      <c r="F33" s="127" t="s">
        <v>335</v>
      </c>
      <c r="H33" s="203">
        <v>-107.76</v>
      </c>
      <c r="I33"/>
      <c r="J33"/>
      <c r="K33"/>
    </row>
    <row r="34" spans="1:11" s="63" customFormat="1" ht="13.5" thickBot="1">
      <c r="A34" s="157"/>
      <c r="B34" s="108" t="s">
        <v>147</v>
      </c>
      <c r="C34" s="109"/>
      <c r="D34" s="178">
        <f>D6+D24</f>
        <v>115945.02000000002</v>
      </c>
      <c r="E34"/>
      <c r="F34" s="105"/>
      <c r="H34" s="178">
        <f>H6+H24</f>
        <v>222010.41999999993</v>
      </c>
      <c r="I34"/>
      <c r="J34"/>
      <c r="K34"/>
    </row>
    <row r="35" spans="1:11" s="63" customFormat="1" ht="13.5" thickBot="1">
      <c r="A35" s="157"/>
      <c r="B35" s="102" t="s">
        <v>146</v>
      </c>
      <c r="C35" s="103"/>
      <c r="D35" s="179">
        <f>D36+D37+D38+D39+D40+D41+D42+D43+D44+D45+D46+D47</f>
        <v>-692382.9500000001</v>
      </c>
      <c r="E35"/>
      <c r="F35" s="130"/>
      <c r="H35" s="185">
        <f>H36+H37+H38+H39+H40+H41+H42+H43+H44+H45+H46+H47</f>
        <v>-246521.66</v>
      </c>
      <c r="I35"/>
      <c r="J35"/>
      <c r="K35"/>
    </row>
    <row r="36" spans="1:11" s="63" customFormat="1" ht="12.75">
      <c r="A36" s="155">
        <v>381</v>
      </c>
      <c r="B36" s="72"/>
      <c r="C36" s="119" t="s">
        <v>145</v>
      </c>
      <c r="D36" s="350">
        <v>3500</v>
      </c>
      <c r="E36"/>
      <c r="F36" s="250"/>
      <c r="H36" s="202">
        <v>157.5</v>
      </c>
      <c r="I36"/>
      <c r="J36"/>
      <c r="K36"/>
    </row>
    <row r="37" spans="1:8" ht="12.75">
      <c r="A37" s="155">
        <v>15</v>
      </c>
      <c r="B37" s="72"/>
      <c r="C37" s="119" t="s">
        <v>139</v>
      </c>
      <c r="D37" s="350">
        <f>-546303.55-140000-15000-93000+8000</f>
        <v>-786303.55</v>
      </c>
      <c r="F37" s="240" t="s">
        <v>313</v>
      </c>
      <c r="H37" s="202">
        <v>-282715.09</v>
      </c>
    </row>
    <row r="38" spans="1:8" ht="12.75">
      <c r="A38" s="155">
        <v>3502</v>
      </c>
      <c r="B38" s="72"/>
      <c r="C38" s="119" t="s">
        <v>143</v>
      </c>
      <c r="D38" s="362">
        <f>3195.6+15000+85000</f>
        <v>103195.6</v>
      </c>
      <c r="G38" s="126" t="s">
        <v>276</v>
      </c>
      <c r="H38" s="202">
        <v>65224.65</v>
      </c>
    </row>
    <row r="39" spans="1:8" ht="12.75">
      <c r="A39" s="155">
        <v>4502</v>
      </c>
      <c r="B39" s="72"/>
      <c r="C39" s="120" t="s">
        <v>137</v>
      </c>
      <c r="D39" s="167"/>
      <c r="F39" s="128"/>
      <c r="G39" s="128"/>
      <c r="H39" s="201">
        <v>-18685.39</v>
      </c>
    </row>
    <row r="40" spans="1:8" ht="12.75">
      <c r="A40" s="180" t="s">
        <v>329</v>
      </c>
      <c r="B40" s="55"/>
      <c r="C40" s="243" t="s">
        <v>142</v>
      </c>
      <c r="D40" s="181"/>
      <c r="F40" s="129"/>
      <c r="G40" s="129" t="s">
        <v>277</v>
      </c>
      <c r="H40" s="208"/>
    </row>
    <row r="41" spans="1:8" ht="12.75">
      <c r="A41" s="180" t="s">
        <v>330</v>
      </c>
      <c r="B41" s="55"/>
      <c r="C41" s="243" t="s">
        <v>136</v>
      </c>
      <c r="D41" s="181"/>
      <c r="F41" s="348" t="s">
        <v>358</v>
      </c>
      <c r="G41" s="129" t="s">
        <v>278</v>
      </c>
      <c r="H41" s="208"/>
    </row>
    <row r="42" spans="1:8" ht="12.75">
      <c r="A42" s="180" t="s">
        <v>331</v>
      </c>
      <c r="B42" s="72"/>
      <c r="C42" s="244" t="s">
        <v>141</v>
      </c>
      <c r="D42" s="181"/>
      <c r="F42" s="128"/>
      <c r="G42" s="128" t="s">
        <v>279</v>
      </c>
      <c r="H42" s="208"/>
    </row>
    <row r="43" spans="1:8" ht="12.75">
      <c r="A43" s="180" t="s">
        <v>332</v>
      </c>
      <c r="B43" s="72"/>
      <c r="C43" s="244" t="s">
        <v>135</v>
      </c>
      <c r="D43" s="181"/>
      <c r="F43" s="348" t="s">
        <v>358</v>
      </c>
      <c r="G43" s="128" t="s">
        <v>280</v>
      </c>
      <c r="H43" s="208"/>
    </row>
    <row r="44" spans="1:11" s="63" customFormat="1" ht="12.75">
      <c r="A44" s="155">
        <v>1532</v>
      </c>
      <c r="B44" s="72"/>
      <c r="C44" s="121" t="s">
        <v>140</v>
      </c>
      <c r="D44" s="167"/>
      <c r="E44"/>
      <c r="F44" s="94"/>
      <c r="G44" s="63" t="s">
        <v>306</v>
      </c>
      <c r="H44" s="201"/>
      <c r="I44"/>
      <c r="J44"/>
      <c r="K44"/>
    </row>
    <row r="45" spans="1:11" s="63" customFormat="1" ht="12.75">
      <c r="A45" s="155">
        <v>1531</v>
      </c>
      <c r="B45" s="72"/>
      <c r="C45" s="120" t="s">
        <v>134</v>
      </c>
      <c r="D45" s="181"/>
      <c r="E45"/>
      <c r="F45" s="236" t="s">
        <v>359</v>
      </c>
      <c r="G45" s="63" t="s">
        <v>307</v>
      </c>
      <c r="H45" s="209"/>
      <c r="I45"/>
      <c r="J45"/>
      <c r="K45"/>
    </row>
    <row r="46" spans="1:11" s="63" customFormat="1" ht="12.75">
      <c r="A46" s="161">
        <v>655</v>
      </c>
      <c r="B46" s="55"/>
      <c r="C46" s="119" t="s">
        <v>144</v>
      </c>
      <c r="D46" s="181"/>
      <c r="E46"/>
      <c r="F46" s="107" t="s">
        <v>374</v>
      </c>
      <c r="H46" s="210"/>
      <c r="I46"/>
      <c r="J46"/>
      <c r="K46"/>
    </row>
    <row r="47" spans="1:11" s="63" customFormat="1" ht="13.5" thickBot="1">
      <c r="A47" s="156">
        <v>650</v>
      </c>
      <c r="B47" s="74"/>
      <c r="C47" s="122" t="s">
        <v>138</v>
      </c>
      <c r="D47" s="356">
        <f>-12775</f>
        <v>-12775</v>
      </c>
      <c r="E47"/>
      <c r="F47" s="107"/>
      <c r="H47" s="211">
        <v>-10503.33</v>
      </c>
      <c r="I47"/>
      <c r="J47"/>
      <c r="K47"/>
    </row>
    <row r="48" spans="1:11" s="63" customFormat="1" ht="13.5" thickBot="1">
      <c r="A48" s="153"/>
      <c r="B48" s="110" t="s">
        <v>133</v>
      </c>
      <c r="C48" s="111"/>
      <c r="D48" s="182">
        <f>D34+D35</f>
        <v>-576437.93</v>
      </c>
      <c r="E48"/>
      <c r="F48"/>
      <c r="G48" s="106">
        <f>E52-E49</f>
        <v>0</v>
      </c>
      <c r="H48" s="183">
        <f>H34+H35</f>
        <v>-24511.240000000078</v>
      </c>
      <c r="I48"/>
      <c r="J48"/>
      <c r="K48"/>
    </row>
    <row r="49" spans="1:11" s="63" customFormat="1" ht="13.5" thickBot="1">
      <c r="A49" s="153"/>
      <c r="B49" s="102" t="s">
        <v>132</v>
      </c>
      <c r="C49" s="103"/>
      <c r="D49" s="184">
        <f>D50+D51</f>
        <v>430572</v>
      </c>
      <c r="E49"/>
      <c r="F49" s="106"/>
      <c r="H49" s="185">
        <f>H50+H51</f>
        <v>-74492.67</v>
      </c>
      <c r="I49"/>
      <c r="J49"/>
      <c r="K49"/>
    </row>
    <row r="50" spans="1:11" s="63" customFormat="1" ht="12.75">
      <c r="A50" s="162" t="s">
        <v>333</v>
      </c>
      <c r="B50" s="77"/>
      <c r="C50" s="123" t="s">
        <v>131</v>
      </c>
      <c r="D50" s="351">
        <f>400000+140000</f>
        <v>540000</v>
      </c>
      <c r="E50"/>
      <c r="F50" s="95" t="s">
        <v>294</v>
      </c>
      <c r="H50" s="212"/>
      <c r="I50"/>
      <c r="J50"/>
      <c r="K50"/>
    </row>
    <row r="51" spans="1:11" s="63" customFormat="1" ht="13.5" thickBot="1">
      <c r="A51" s="163" t="s">
        <v>334</v>
      </c>
      <c r="B51" s="78"/>
      <c r="C51" s="124" t="s">
        <v>130</v>
      </c>
      <c r="D51" s="352">
        <f>-101428-8000</f>
        <v>-109428</v>
      </c>
      <c r="E51"/>
      <c r="F51" s="95" t="s">
        <v>281</v>
      </c>
      <c r="H51" s="213">
        <v>-74492.67</v>
      </c>
      <c r="I51"/>
      <c r="J51"/>
      <c r="K51"/>
    </row>
    <row r="52" spans="1:11" s="63" customFormat="1" ht="13.5" thickBot="1">
      <c r="A52" s="261">
        <v>100</v>
      </c>
      <c r="B52" s="98" t="s">
        <v>129</v>
      </c>
      <c r="C52" s="104"/>
      <c r="D52" s="182">
        <f>-151365.93+5500</f>
        <v>-145865.93</v>
      </c>
      <c r="E52"/>
      <c r="F52"/>
      <c r="H52" s="214">
        <v>-99003.91</v>
      </c>
      <c r="I52"/>
      <c r="J52"/>
      <c r="K52"/>
    </row>
    <row r="53" spans="1:8" ht="27" customHeight="1" thickBot="1">
      <c r="A53" s="153"/>
      <c r="B53" s="379" t="s">
        <v>128</v>
      </c>
      <c r="C53" s="380"/>
      <c r="D53" s="186"/>
      <c r="F53" s="27"/>
      <c r="H53" s="215"/>
    </row>
    <row r="54" spans="1:8" ht="13.5" thickBot="1">
      <c r="A54" s="153"/>
      <c r="B54" s="89"/>
      <c r="C54" s="56"/>
      <c r="D54" s="187"/>
      <c r="F54" s="27"/>
      <c r="H54" s="216"/>
    </row>
    <row r="55" spans="1:11" s="63" customFormat="1" ht="37.5" customHeight="1" thickBot="1">
      <c r="A55" s="153"/>
      <c r="B55" s="377" t="s">
        <v>168</v>
      </c>
      <c r="C55" s="378"/>
      <c r="D55" s="165">
        <f>D56+D63+D64+D68+D85+D91+D98+D105+D129+D141</f>
        <v>4039303.5300000003</v>
      </c>
      <c r="E55"/>
      <c r="H55" s="173">
        <f>H56+H63+H64+H68+H85+H91+H98+H105+H129+H141</f>
        <v>3415994.61</v>
      </c>
      <c r="I55"/>
      <c r="J55"/>
      <c r="K55"/>
    </row>
    <row r="56" spans="1:8" ht="13.5" thickBot="1">
      <c r="A56" s="79" t="s">
        <v>189</v>
      </c>
      <c r="B56" s="88" t="s">
        <v>127</v>
      </c>
      <c r="C56" s="33"/>
      <c r="D56" s="188">
        <f>SUM(D57:D62)</f>
        <v>364518.20999999996</v>
      </c>
      <c r="F56" s="27"/>
      <c r="H56" s="217">
        <f>SUM(H57:H62)</f>
        <v>296940.48</v>
      </c>
    </row>
    <row r="57" spans="1:8" ht="12.75">
      <c r="A57" s="80" t="s">
        <v>190</v>
      </c>
      <c r="B57" s="72" t="s">
        <v>126</v>
      </c>
      <c r="C57" s="48"/>
      <c r="D57" s="189">
        <v>23640</v>
      </c>
      <c r="F57" s="27"/>
      <c r="H57" s="218">
        <v>19356.67</v>
      </c>
    </row>
    <row r="58" spans="1:8" ht="12.75">
      <c r="A58" s="80" t="s">
        <v>191</v>
      </c>
      <c r="B58" s="72" t="s">
        <v>125</v>
      </c>
      <c r="C58" s="48"/>
      <c r="D58" s="189">
        <v>293024.16</v>
      </c>
      <c r="F58" s="27"/>
      <c r="H58" s="218">
        <v>249945.2</v>
      </c>
    </row>
    <row r="59" spans="1:8" ht="12.75">
      <c r="A59" s="80" t="s">
        <v>192</v>
      </c>
      <c r="B59" s="90" t="s">
        <v>124</v>
      </c>
      <c r="C59" s="35"/>
      <c r="D59" s="353">
        <f>13854.05-3500</f>
        <v>10354.05</v>
      </c>
      <c r="F59" s="27"/>
      <c r="H59" s="219"/>
    </row>
    <row r="60" spans="1:8" ht="12.75">
      <c r="A60" s="80" t="s">
        <v>193</v>
      </c>
      <c r="B60" s="72" t="s">
        <v>123</v>
      </c>
      <c r="C60" s="48"/>
      <c r="D60" s="189">
        <v>17000</v>
      </c>
      <c r="F60" s="27"/>
      <c r="H60" s="218">
        <v>17512.67</v>
      </c>
    </row>
    <row r="61" spans="1:8" ht="12.75">
      <c r="A61" s="80" t="s">
        <v>194</v>
      </c>
      <c r="B61" s="72" t="s">
        <v>122</v>
      </c>
      <c r="C61" s="48"/>
      <c r="D61" s="190">
        <f>12500</f>
        <v>12500</v>
      </c>
      <c r="F61" s="27"/>
      <c r="H61" s="220">
        <v>10125.94</v>
      </c>
    </row>
    <row r="62" spans="1:8" ht="13.5" thickBot="1">
      <c r="A62" s="80"/>
      <c r="B62" s="74" t="s">
        <v>121</v>
      </c>
      <c r="C62" s="34"/>
      <c r="D62" s="191">
        <v>8000</v>
      </c>
      <c r="F62" s="331" t="s">
        <v>360</v>
      </c>
      <c r="H62" s="213"/>
    </row>
    <row r="63" spans="1:8" ht="13.5" thickBot="1">
      <c r="A63" s="79" t="s">
        <v>195</v>
      </c>
      <c r="B63" s="88" t="s">
        <v>120</v>
      </c>
      <c r="C63" s="33"/>
      <c r="D63" s="192"/>
      <c r="F63" s="27"/>
      <c r="H63" s="221"/>
    </row>
    <row r="64" spans="1:11" s="63" customFormat="1" ht="13.5" thickBot="1">
      <c r="A64" s="79" t="s">
        <v>196</v>
      </c>
      <c r="B64" s="88" t="s">
        <v>119</v>
      </c>
      <c r="C64" s="57"/>
      <c r="D64" s="188">
        <f>SUM(D65:D67)</f>
        <v>9991.6</v>
      </c>
      <c r="E64"/>
      <c r="H64" s="222">
        <f>SUM(H65:H67)</f>
        <v>8888.52</v>
      </c>
      <c r="I64"/>
      <c r="J64"/>
      <c r="K64"/>
    </row>
    <row r="65" spans="1:8" ht="12.75">
      <c r="A65" s="80" t="s">
        <v>197</v>
      </c>
      <c r="B65" s="72" t="s">
        <v>118</v>
      </c>
      <c r="C65" s="54"/>
      <c r="D65" s="189">
        <v>1396</v>
      </c>
      <c r="F65" s="27"/>
      <c r="H65" s="218">
        <v>1358.46</v>
      </c>
    </row>
    <row r="66" spans="1:8" ht="12.75">
      <c r="A66" s="80" t="s">
        <v>198</v>
      </c>
      <c r="B66" s="72" t="s">
        <v>117</v>
      </c>
      <c r="C66" s="54"/>
      <c r="D66" s="189">
        <v>6990</v>
      </c>
      <c r="F66" s="27"/>
      <c r="H66" s="218">
        <v>5576.85</v>
      </c>
    </row>
    <row r="67" spans="1:8" ht="13.5" thickBot="1">
      <c r="A67" s="80"/>
      <c r="B67" s="74" t="s">
        <v>116</v>
      </c>
      <c r="C67" s="32"/>
      <c r="D67" s="191">
        <v>1605.6</v>
      </c>
      <c r="F67" s="27"/>
      <c r="H67" s="213">
        <v>1953.21</v>
      </c>
    </row>
    <row r="68" spans="1:8" ht="13.5" thickBot="1">
      <c r="A68" s="79" t="s">
        <v>199</v>
      </c>
      <c r="B68" s="88" t="s">
        <v>115</v>
      </c>
      <c r="C68" s="57"/>
      <c r="D68" s="188">
        <f>SUM(D69:D84)</f>
        <v>628158.52</v>
      </c>
      <c r="F68" s="27"/>
      <c r="H68" s="217">
        <f>SUM(H69:H84)</f>
        <v>281589.19999999995</v>
      </c>
    </row>
    <row r="69" spans="1:8" ht="12.75">
      <c r="A69" s="80" t="s">
        <v>200</v>
      </c>
      <c r="B69" s="72" t="s">
        <v>114</v>
      </c>
      <c r="C69" s="54"/>
      <c r="D69" s="193"/>
      <c r="F69" s="27"/>
      <c r="H69" s="223"/>
    </row>
    <row r="70" spans="1:11" s="63" customFormat="1" ht="12.75">
      <c r="A70" s="80" t="s">
        <v>201</v>
      </c>
      <c r="B70" s="72" t="s">
        <v>299</v>
      </c>
      <c r="C70" s="49"/>
      <c r="D70" s="189">
        <v>30886.24</v>
      </c>
      <c r="E70"/>
      <c r="F70"/>
      <c r="H70" s="218">
        <v>20712.01</v>
      </c>
      <c r="I70"/>
      <c r="J70"/>
      <c r="K70"/>
    </row>
    <row r="71" spans="1:8" ht="12.75">
      <c r="A71" s="80" t="s">
        <v>202</v>
      </c>
      <c r="B71" s="72" t="s">
        <v>113</v>
      </c>
      <c r="C71" s="49"/>
      <c r="D71" s="189"/>
      <c r="F71"/>
      <c r="H71" s="218"/>
    </row>
    <row r="72" spans="1:8" ht="12.75">
      <c r="A72" s="80" t="s">
        <v>203</v>
      </c>
      <c r="B72" s="72" t="s">
        <v>112</v>
      </c>
      <c r="C72" s="49"/>
      <c r="D72" s="189"/>
      <c r="F72"/>
      <c r="H72" s="218"/>
    </row>
    <row r="73" spans="1:8" ht="12.75">
      <c r="A73" s="80" t="s">
        <v>204</v>
      </c>
      <c r="B73" s="72" t="s">
        <v>111</v>
      </c>
      <c r="C73" s="49"/>
      <c r="D73" s="189">
        <v>6912</v>
      </c>
      <c r="F73"/>
      <c r="H73" s="218">
        <v>6180</v>
      </c>
    </row>
    <row r="74" spans="1:8" ht="12.75">
      <c r="A74" s="80" t="s">
        <v>205</v>
      </c>
      <c r="B74" s="72" t="s">
        <v>110</v>
      </c>
      <c r="C74" s="49"/>
      <c r="D74" s="189">
        <v>29775</v>
      </c>
      <c r="F74"/>
      <c r="H74" s="218">
        <v>43837.92</v>
      </c>
    </row>
    <row r="75" spans="1:8" ht="12.75">
      <c r="A75" s="80" t="s">
        <v>206</v>
      </c>
      <c r="B75" s="72" t="s">
        <v>109</v>
      </c>
      <c r="C75" s="49"/>
      <c r="D75" s="189">
        <v>96579</v>
      </c>
      <c r="F75"/>
      <c r="H75" s="218">
        <v>81094.53</v>
      </c>
    </row>
    <row r="76" spans="1:8" ht="12.75">
      <c r="A76" s="80" t="s">
        <v>207</v>
      </c>
      <c r="B76" s="72" t="s">
        <v>300</v>
      </c>
      <c r="C76" s="49"/>
      <c r="D76" s="189"/>
      <c r="F76"/>
      <c r="H76" s="218"/>
    </row>
    <row r="77" spans="1:8" ht="12.75">
      <c r="A77" s="80" t="s">
        <v>208</v>
      </c>
      <c r="B77" s="72" t="s">
        <v>108</v>
      </c>
      <c r="C77" s="49"/>
      <c r="D77" s="189"/>
      <c r="F77"/>
      <c r="H77" s="218"/>
    </row>
    <row r="78" spans="1:8" ht="12.75">
      <c r="A78" s="80" t="s">
        <v>209</v>
      </c>
      <c r="B78" s="72" t="s">
        <v>107</v>
      </c>
      <c r="C78" s="49"/>
      <c r="D78" s="189"/>
      <c r="F78"/>
      <c r="H78" s="218"/>
    </row>
    <row r="79" spans="1:8" ht="12.75">
      <c r="A79" s="80" t="s">
        <v>210</v>
      </c>
      <c r="B79" s="72" t="s">
        <v>106</v>
      </c>
      <c r="C79" s="49"/>
      <c r="D79" s="189"/>
      <c r="F79" s="199"/>
      <c r="H79" s="218"/>
    </row>
    <row r="80" spans="1:8" ht="12.75">
      <c r="A80" s="80" t="s">
        <v>211</v>
      </c>
      <c r="B80" s="72" t="s">
        <v>105</v>
      </c>
      <c r="C80" s="49"/>
      <c r="D80" s="189">
        <v>25741</v>
      </c>
      <c r="F80" s="199"/>
      <c r="H80" s="218">
        <v>22470.05</v>
      </c>
    </row>
    <row r="81" spans="1:8" ht="12.75">
      <c r="A81" s="80" t="s">
        <v>212</v>
      </c>
      <c r="B81" s="72" t="s">
        <v>104</v>
      </c>
      <c r="C81" s="49"/>
      <c r="D81" s="189">
        <v>10900</v>
      </c>
      <c r="F81" s="27"/>
      <c r="H81" s="218">
        <v>10897.74</v>
      </c>
    </row>
    <row r="82" spans="1:8" ht="12.75">
      <c r="A82" s="80" t="s">
        <v>213</v>
      </c>
      <c r="B82" s="72" t="s">
        <v>103</v>
      </c>
      <c r="C82" s="49"/>
      <c r="D82" s="189">
        <v>137000</v>
      </c>
      <c r="F82" s="27"/>
      <c r="H82" s="218">
        <v>71243.76</v>
      </c>
    </row>
    <row r="83" spans="1:8" ht="12.75">
      <c r="A83" s="80" t="s">
        <v>214</v>
      </c>
      <c r="B83" s="72" t="s">
        <v>102</v>
      </c>
      <c r="C83" s="49"/>
      <c r="D83" s="189">
        <v>290365.28</v>
      </c>
      <c r="F83" s="27"/>
      <c r="H83" s="218">
        <v>25153.19</v>
      </c>
    </row>
    <row r="84" spans="1:8" ht="13.5" thickBot="1">
      <c r="A84" s="81"/>
      <c r="B84" s="72" t="s">
        <v>101</v>
      </c>
      <c r="C84" s="49"/>
      <c r="D84" s="194"/>
      <c r="F84" s="27"/>
      <c r="H84" s="218"/>
    </row>
    <row r="85" spans="1:8" ht="13.5" thickBot="1">
      <c r="A85" s="79" t="s">
        <v>215</v>
      </c>
      <c r="B85" s="88" t="s">
        <v>100</v>
      </c>
      <c r="C85" s="257"/>
      <c r="D85" s="188">
        <f>SUM(D86:D90)</f>
        <v>80552</v>
      </c>
      <c r="F85" s="27"/>
      <c r="H85" s="222">
        <f>SUM(H86:H90)</f>
        <v>78510.73999999999</v>
      </c>
    </row>
    <row r="86" spans="1:8" ht="12.75">
      <c r="A86" s="80" t="s">
        <v>216</v>
      </c>
      <c r="B86" s="72" t="s">
        <v>99</v>
      </c>
      <c r="C86" s="49"/>
      <c r="D86" s="189">
        <v>6000</v>
      </c>
      <c r="F86" s="27"/>
      <c r="H86" s="218">
        <v>5699.28</v>
      </c>
    </row>
    <row r="87" spans="1:8" ht="12.75">
      <c r="A87" s="80" t="s">
        <v>217</v>
      </c>
      <c r="B87" s="72" t="s">
        <v>98</v>
      </c>
      <c r="C87" s="49"/>
      <c r="D87" s="189">
        <v>234</v>
      </c>
      <c r="F87" s="27"/>
      <c r="H87" s="218">
        <v>176.96</v>
      </c>
    </row>
    <row r="88" spans="1:8" ht="12.75">
      <c r="A88" s="80" t="s">
        <v>218</v>
      </c>
      <c r="B88" s="72" t="s">
        <v>97</v>
      </c>
      <c r="C88" s="49"/>
      <c r="D88" s="189">
        <v>11500</v>
      </c>
      <c r="F88" s="27"/>
      <c r="H88" s="218">
        <v>12294.61</v>
      </c>
    </row>
    <row r="89" spans="1:8" ht="12.75">
      <c r="A89" s="80" t="s">
        <v>219</v>
      </c>
      <c r="B89" s="55" t="s">
        <v>96</v>
      </c>
      <c r="C89" s="49"/>
      <c r="D89" s="189">
        <v>53868</v>
      </c>
      <c r="F89" s="27"/>
      <c r="H89" s="218">
        <v>51399.89</v>
      </c>
    </row>
    <row r="90" spans="1:8" ht="13.5" thickBot="1">
      <c r="A90" s="80"/>
      <c r="B90" s="74" t="s">
        <v>95</v>
      </c>
      <c r="C90" s="258"/>
      <c r="D90" s="191">
        <v>8950</v>
      </c>
      <c r="F90" s="27"/>
      <c r="H90" s="213">
        <v>8940</v>
      </c>
    </row>
    <row r="91" spans="1:8" ht="13.5" thickBot="1">
      <c r="A91" s="79" t="s">
        <v>220</v>
      </c>
      <c r="B91" s="88" t="s">
        <v>94</v>
      </c>
      <c r="C91" s="257"/>
      <c r="D91" s="188">
        <f>SUM(D92:D97)</f>
        <v>206467.53</v>
      </c>
      <c r="F91" s="27"/>
      <c r="H91" s="217">
        <f>SUM(H92:H97)</f>
        <v>187159.75</v>
      </c>
    </row>
    <row r="92" spans="1:8" ht="12.75">
      <c r="A92" s="80" t="s">
        <v>221</v>
      </c>
      <c r="B92" s="72" t="s">
        <v>93</v>
      </c>
      <c r="C92" s="49"/>
      <c r="D92" s="189">
        <v>13383</v>
      </c>
      <c r="F92" s="27"/>
      <c r="H92" s="218">
        <v>10124.37</v>
      </c>
    </row>
    <row r="93" spans="1:8" ht="12.75">
      <c r="A93" s="80" t="s">
        <v>222</v>
      </c>
      <c r="B93" s="72" t="s">
        <v>92</v>
      </c>
      <c r="C93" s="49"/>
      <c r="D93" s="189"/>
      <c r="F93" s="27"/>
      <c r="H93" s="218"/>
    </row>
    <row r="94" spans="1:8" ht="12.75">
      <c r="A94" s="80" t="s">
        <v>223</v>
      </c>
      <c r="B94" s="72" t="s">
        <v>91</v>
      </c>
      <c r="C94" s="49"/>
      <c r="D94" s="189"/>
      <c r="F94" s="27"/>
      <c r="H94" s="218"/>
    </row>
    <row r="95" spans="1:8" ht="12.75">
      <c r="A95" s="80" t="s">
        <v>224</v>
      </c>
      <c r="B95" s="72" t="s">
        <v>90</v>
      </c>
      <c r="C95" s="49"/>
      <c r="D95" s="189">
        <f>68700-8000</f>
        <v>60700</v>
      </c>
      <c r="F95" s="27"/>
      <c r="H95" s="218">
        <v>58539.67</v>
      </c>
    </row>
    <row r="96" spans="1:8" ht="12.75">
      <c r="A96" s="80" t="s">
        <v>225</v>
      </c>
      <c r="B96" s="72" t="s">
        <v>89</v>
      </c>
      <c r="C96" s="49"/>
      <c r="D96" s="189">
        <v>132384.53</v>
      </c>
      <c r="F96"/>
      <c r="H96" s="218">
        <v>118495.71</v>
      </c>
    </row>
    <row r="97" spans="1:8" ht="13.5" thickBot="1">
      <c r="A97" s="80"/>
      <c r="B97" s="74" t="s">
        <v>88</v>
      </c>
      <c r="C97" s="259"/>
      <c r="D97" s="189"/>
      <c r="F97" s="27"/>
      <c r="H97" s="218"/>
    </row>
    <row r="98" spans="1:8" ht="13.5" thickBot="1">
      <c r="A98" s="79" t="s">
        <v>226</v>
      </c>
      <c r="B98" s="88" t="s">
        <v>87</v>
      </c>
      <c r="C98" s="257"/>
      <c r="D98" s="188">
        <f>SUM(D99:D104)</f>
        <v>640</v>
      </c>
      <c r="F98" s="27"/>
      <c r="H98" s="217">
        <f>SUM(H99:H104)</f>
        <v>5088.78</v>
      </c>
    </row>
    <row r="99" spans="1:8" ht="12.75">
      <c r="A99" s="80" t="s">
        <v>227</v>
      </c>
      <c r="B99" s="72" t="s">
        <v>86</v>
      </c>
      <c r="C99" s="49"/>
      <c r="D99" s="189"/>
      <c r="F99"/>
      <c r="H99" s="218"/>
    </row>
    <row r="100" spans="1:8" ht="12.75">
      <c r="A100" s="80" t="s">
        <v>228</v>
      </c>
      <c r="B100" s="72" t="s">
        <v>85</v>
      </c>
      <c r="C100" s="49"/>
      <c r="D100" s="189">
        <v>640</v>
      </c>
      <c r="F100"/>
      <c r="H100" s="218">
        <v>5088.78</v>
      </c>
    </row>
    <row r="101" spans="1:8" ht="12.75">
      <c r="A101" s="80" t="s">
        <v>229</v>
      </c>
      <c r="B101" s="72" t="s">
        <v>84</v>
      </c>
      <c r="C101" s="49"/>
      <c r="D101" s="189"/>
      <c r="F101"/>
      <c r="H101" s="218"/>
    </row>
    <row r="102" spans="1:8" ht="12.75">
      <c r="A102" s="80" t="s">
        <v>230</v>
      </c>
      <c r="B102" s="72" t="s">
        <v>83</v>
      </c>
      <c r="C102" s="49"/>
      <c r="D102" s="189"/>
      <c r="F102"/>
      <c r="H102" s="218"/>
    </row>
    <row r="103" spans="1:8" ht="12.75">
      <c r="A103" s="80" t="s">
        <v>231</v>
      </c>
      <c r="B103" s="72" t="s">
        <v>82</v>
      </c>
      <c r="C103" s="49"/>
      <c r="D103" s="189"/>
      <c r="F103"/>
      <c r="H103" s="218"/>
    </row>
    <row r="104" spans="1:8" ht="13.5" thickBot="1">
      <c r="A104" s="82"/>
      <c r="B104" s="74" t="s">
        <v>81</v>
      </c>
      <c r="C104" s="51"/>
      <c r="D104" s="191"/>
      <c r="F104"/>
      <c r="H104" s="213"/>
    </row>
    <row r="105" spans="1:8" ht="13.5" thickBot="1">
      <c r="A105" s="79" t="s">
        <v>232</v>
      </c>
      <c r="B105" s="88" t="s">
        <v>80</v>
      </c>
      <c r="C105" s="257"/>
      <c r="D105" s="188">
        <f>SUM(D106:D128)</f>
        <v>780144.36</v>
      </c>
      <c r="F105"/>
      <c r="H105" s="217">
        <f>SUM(H106:H128)</f>
        <v>654940.52</v>
      </c>
    </row>
    <row r="106" spans="1:8" ht="12.75">
      <c r="A106" s="80" t="s">
        <v>233</v>
      </c>
      <c r="B106" s="72" t="s">
        <v>301</v>
      </c>
      <c r="C106" s="49"/>
      <c r="D106" s="353">
        <f>55730+140000+15000</f>
        <v>210730</v>
      </c>
      <c r="F106"/>
      <c r="H106" s="218">
        <v>51799.75</v>
      </c>
    </row>
    <row r="107" spans="1:8" ht="12.75">
      <c r="A107" s="80" t="s">
        <v>234</v>
      </c>
      <c r="B107" s="72" t="s">
        <v>302</v>
      </c>
      <c r="C107" s="49"/>
      <c r="D107" s="189"/>
      <c r="F107"/>
      <c r="H107" s="218"/>
    </row>
    <row r="108" spans="1:8" ht="12.75">
      <c r="A108" s="80" t="s">
        <v>235</v>
      </c>
      <c r="B108" s="72" t="s">
        <v>79</v>
      </c>
      <c r="C108" s="49"/>
      <c r="D108" s="189">
        <v>140086.6</v>
      </c>
      <c r="F108"/>
      <c r="H108" s="218">
        <v>129484.23</v>
      </c>
    </row>
    <row r="109" spans="1:8" ht="12.75">
      <c r="A109" s="80" t="s">
        <v>236</v>
      </c>
      <c r="B109" s="72" t="s">
        <v>78</v>
      </c>
      <c r="C109" s="49"/>
      <c r="D109" s="189"/>
      <c r="F109"/>
      <c r="H109" s="218"/>
    </row>
    <row r="110" spans="1:8" ht="12.75">
      <c r="A110" s="80" t="s">
        <v>237</v>
      </c>
      <c r="B110" s="90" t="s">
        <v>77</v>
      </c>
      <c r="C110" s="260"/>
      <c r="D110" s="189">
        <v>62314.74</v>
      </c>
      <c r="F110"/>
      <c r="H110" s="218">
        <v>73185.06</v>
      </c>
    </row>
    <row r="111" spans="1:8" ht="12.75">
      <c r="A111" s="80" t="s">
        <v>238</v>
      </c>
      <c r="B111" s="72" t="s">
        <v>76</v>
      </c>
      <c r="C111" s="49"/>
      <c r="D111" s="189"/>
      <c r="F111"/>
      <c r="H111" s="218"/>
    </row>
    <row r="112" spans="1:8" ht="12.75">
      <c r="A112" s="80" t="s">
        <v>239</v>
      </c>
      <c r="B112" s="72" t="s">
        <v>75</v>
      </c>
      <c r="C112" s="49"/>
      <c r="D112" s="189">
        <v>13000</v>
      </c>
      <c r="F112"/>
      <c r="H112" s="218">
        <v>13994.5</v>
      </c>
    </row>
    <row r="113" spans="1:8" ht="12.75">
      <c r="A113" s="80" t="s">
        <v>240</v>
      </c>
      <c r="B113" s="72" t="s">
        <v>74</v>
      </c>
      <c r="C113" s="49"/>
      <c r="D113" s="189">
        <v>52067.99</v>
      </c>
      <c r="F113"/>
      <c r="H113" s="218">
        <v>50873.32</v>
      </c>
    </row>
    <row r="114" spans="1:8" ht="12.75">
      <c r="A114" s="80" t="s">
        <v>241</v>
      </c>
      <c r="B114" s="72" t="s">
        <v>73</v>
      </c>
      <c r="C114" s="49"/>
      <c r="D114" s="189">
        <f>165545.03+93000</f>
        <v>258545.03</v>
      </c>
      <c r="F114"/>
      <c r="H114" s="218">
        <v>291641.14</v>
      </c>
    </row>
    <row r="115" spans="1:8" ht="12.75">
      <c r="A115" s="80" t="s">
        <v>242</v>
      </c>
      <c r="B115" s="72" t="s">
        <v>72</v>
      </c>
      <c r="C115" s="49"/>
      <c r="D115" s="189">
        <v>1918</v>
      </c>
      <c r="F115"/>
      <c r="H115" s="218">
        <v>1918</v>
      </c>
    </row>
    <row r="116" spans="1:8" ht="12.75">
      <c r="A116" s="80" t="s">
        <v>345</v>
      </c>
      <c r="B116" s="72" t="s">
        <v>71</v>
      </c>
      <c r="C116" s="49"/>
      <c r="D116" s="189"/>
      <c r="F116"/>
      <c r="H116" s="218"/>
    </row>
    <row r="117" spans="1:8" ht="12.75">
      <c r="A117" s="80" t="s">
        <v>346</v>
      </c>
      <c r="B117" s="72" t="s">
        <v>70</v>
      </c>
      <c r="C117" s="49"/>
      <c r="D117" s="189">
        <v>5346</v>
      </c>
      <c r="F117" s="27"/>
      <c r="H117" s="218">
        <v>3775.24</v>
      </c>
    </row>
    <row r="118" spans="1:8" ht="12.75">
      <c r="A118" s="80" t="s">
        <v>347</v>
      </c>
      <c r="B118" s="72" t="s">
        <v>69</v>
      </c>
      <c r="C118" s="49"/>
      <c r="D118" s="189"/>
      <c r="F118" s="27"/>
      <c r="H118" s="218"/>
    </row>
    <row r="119" spans="1:8" ht="12.75">
      <c r="A119" s="80" t="s">
        <v>243</v>
      </c>
      <c r="B119" s="72" t="s">
        <v>68</v>
      </c>
      <c r="C119" s="49"/>
      <c r="D119" s="189"/>
      <c r="F119" s="27"/>
      <c r="H119" s="218"/>
    </row>
    <row r="120" spans="1:8" ht="12.75">
      <c r="A120" s="80" t="s">
        <v>244</v>
      </c>
      <c r="B120" s="72" t="s">
        <v>67</v>
      </c>
      <c r="C120" s="49"/>
      <c r="D120" s="189"/>
      <c r="F120" s="27"/>
      <c r="H120" s="218"/>
    </row>
    <row r="121" spans="1:8" ht="12.75">
      <c r="A121" s="80" t="s">
        <v>245</v>
      </c>
      <c r="B121" s="72" t="s">
        <v>66</v>
      </c>
      <c r="C121" s="49"/>
      <c r="D121" s="189"/>
      <c r="F121" s="27"/>
      <c r="H121" s="218"/>
    </row>
    <row r="122" spans="1:8" ht="12.75">
      <c r="A122" s="80" t="s">
        <v>246</v>
      </c>
      <c r="B122" s="72" t="s">
        <v>65</v>
      </c>
      <c r="C122" s="49"/>
      <c r="D122" s="189"/>
      <c r="F122" s="27"/>
      <c r="H122" s="218"/>
    </row>
    <row r="123" spans="1:8" ht="12.75">
      <c r="A123" s="80" t="s">
        <v>247</v>
      </c>
      <c r="B123" s="72" t="s">
        <v>64</v>
      </c>
      <c r="C123" s="49"/>
      <c r="D123" s="189"/>
      <c r="F123" s="27"/>
      <c r="H123" s="218"/>
    </row>
    <row r="124" spans="1:8" ht="12.75">
      <c r="A124" s="80" t="s">
        <v>248</v>
      </c>
      <c r="B124" s="90" t="s">
        <v>63</v>
      </c>
      <c r="C124" s="260"/>
      <c r="D124" s="189"/>
      <c r="F124" s="27"/>
      <c r="H124" s="218"/>
    </row>
    <row r="125" spans="1:8" ht="12.75">
      <c r="A125" s="80" t="s">
        <v>249</v>
      </c>
      <c r="B125" s="72" t="s">
        <v>62</v>
      </c>
      <c r="C125" s="49"/>
      <c r="D125" s="189">
        <v>11000</v>
      </c>
      <c r="F125" s="27"/>
      <c r="H125" s="218">
        <v>10924.92</v>
      </c>
    </row>
    <row r="126" spans="1:8" ht="12.75">
      <c r="A126" s="80" t="s">
        <v>250</v>
      </c>
      <c r="B126" s="72" t="s">
        <v>61</v>
      </c>
      <c r="C126" s="49"/>
      <c r="D126" s="189">
        <v>23000</v>
      </c>
      <c r="F126" s="27"/>
      <c r="H126" s="218">
        <v>24025.23</v>
      </c>
    </row>
    <row r="127" spans="1:8" ht="12.75">
      <c r="A127" s="80" t="s">
        <v>251</v>
      </c>
      <c r="B127" s="72" t="s">
        <v>60</v>
      </c>
      <c r="C127" s="49"/>
      <c r="D127" s="189"/>
      <c r="F127" s="27"/>
      <c r="H127" s="218"/>
    </row>
    <row r="128" spans="1:8" ht="13.5" thickBot="1">
      <c r="A128" s="80"/>
      <c r="B128" s="74" t="s">
        <v>59</v>
      </c>
      <c r="C128" s="51"/>
      <c r="D128" s="191">
        <v>2136</v>
      </c>
      <c r="F128" s="27"/>
      <c r="H128" s="213">
        <v>3319.13</v>
      </c>
    </row>
    <row r="129" spans="1:8" ht="13.5" thickBot="1">
      <c r="A129" s="79" t="s">
        <v>252</v>
      </c>
      <c r="B129" s="88" t="s">
        <v>373</v>
      </c>
      <c r="C129" s="257"/>
      <c r="D129" s="188">
        <f>SUM(D130:D140)</f>
        <v>1746286.75</v>
      </c>
      <c r="F129"/>
      <c r="H129" s="222">
        <f>SUM(H130:H140)</f>
        <v>1692659.26</v>
      </c>
    </row>
    <row r="130" spans="1:8" ht="12.75">
      <c r="A130" s="314" t="s">
        <v>253</v>
      </c>
      <c r="B130" s="315" t="s">
        <v>325</v>
      </c>
      <c r="C130" s="49"/>
      <c r="D130" s="189">
        <v>561168.58</v>
      </c>
      <c r="F130" s="27"/>
      <c r="H130" s="218">
        <v>526724.77</v>
      </c>
    </row>
    <row r="131" spans="1:8" ht="15.75" customHeight="1">
      <c r="A131" s="314" t="s">
        <v>369</v>
      </c>
      <c r="B131" s="315" t="s">
        <v>370</v>
      </c>
      <c r="C131" s="260"/>
      <c r="D131" s="189">
        <v>1122146.17</v>
      </c>
      <c r="E131" s="1"/>
      <c r="F131" s="27"/>
      <c r="H131" s="218">
        <v>1102371.83</v>
      </c>
    </row>
    <row r="132" spans="1:8" ht="24.75" customHeight="1">
      <c r="A132" s="314" t="s">
        <v>371</v>
      </c>
      <c r="B132" s="315" t="s">
        <v>58</v>
      </c>
      <c r="C132" s="260"/>
      <c r="D132" s="189"/>
      <c r="F132"/>
      <c r="H132" s="218"/>
    </row>
    <row r="133" spans="1:8" ht="12.75">
      <c r="A133" s="314" t="s">
        <v>254</v>
      </c>
      <c r="B133" s="315" t="s">
        <v>57</v>
      </c>
      <c r="C133" s="260"/>
      <c r="D133" s="189"/>
      <c r="F133" s="27"/>
      <c r="H133" s="218"/>
    </row>
    <row r="134" spans="1:8" ht="12.75">
      <c r="A134" s="314" t="s">
        <v>255</v>
      </c>
      <c r="B134" s="315" t="s">
        <v>338</v>
      </c>
      <c r="C134" s="260"/>
      <c r="D134" s="189"/>
      <c r="F134" s="27"/>
      <c r="H134" s="218"/>
    </row>
    <row r="135" spans="1:8" ht="12.75">
      <c r="A135" s="314" t="s">
        <v>256</v>
      </c>
      <c r="B135" s="315" t="s">
        <v>339</v>
      </c>
      <c r="C135" s="49"/>
      <c r="D135" s="189">
        <v>600</v>
      </c>
      <c r="F135" s="27"/>
      <c r="H135" s="218">
        <v>433.66</v>
      </c>
    </row>
    <row r="136" spans="1:8" ht="12.75">
      <c r="A136" s="314" t="s">
        <v>257</v>
      </c>
      <c r="B136" s="315" t="s">
        <v>340</v>
      </c>
      <c r="C136" s="49"/>
      <c r="D136" s="189">
        <v>59572</v>
      </c>
      <c r="F136" s="27"/>
      <c r="H136" s="218">
        <v>60333</v>
      </c>
    </row>
    <row r="137" spans="1:8" ht="12.75">
      <c r="A137" s="314" t="s">
        <v>343</v>
      </c>
      <c r="B137" s="315" t="s">
        <v>341</v>
      </c>
      <c r="C137" s="49"/>
      <c r="D137" s="189"/>
      <c r="F137" s="27"/>
      <c r="H137" s="218"/>
    </row>
    <row r="138" spans="1:8" ht="12.75">
      <c r="A138" s="314" t="s">
        <v>344</v>
      </c>
      <c r="B138" s="315" t="s">
        <v>342</v>
      </c>
      <c r="C138" s="49"/>
      <c r="D138" s="189"/>
      <c r="F138" s="27"/>
      <c r="H138" s="218"/>
    </row>
    <row r="139" spans="1:8" ht="12.75">
      <c r="A139" s="314" t="s">
        <v>258</v>
      </c>
      <c r="B139" s="315" t="s">
        <v>56</v>
      </c>
      <c r="C139" s="49"/>
      <c r="D139" s="189">
        <v>2800</v>
      </c>
      <c r="F139" s="27"/>
      <c r="H139" s="218">
        <v>2796</v>
      </c>
    </row>
    <row r="140" spans="1:8" ht="13.5" thickBot="1">
      <c r="A140" s="314"/>
      <c r="B140" s="315" t="s">
        <v>55</v>
      </c>
      <c r="C140" s="49"/>
      <c r="D140" s="189"/>
      <c r="F140" s="27"/>
      <c r="H140" s="218"/>
    </row>
    <row r="141" spans="1:8" ht="13.5" thickBot="1">
      <c r="A141" s="79" t="s">
        <v>259</v>
      </c>
      <c r="B141" s="88" t="s">
        <v>54</v>
      </c>
      <c r="C141" s="257"/>
      <c r="D141" s="188">
        <f>SUM(D142:D156)</f>
        <v>222544.56</v>
      </c>
      <c r="F141" s="27"/>
      <c r="H141" s="217">
        <f>SUM(H142:H156)</f>
        <v>210217.36</v>
      </c>
    </row>
    <row r="142" spans="1:8" ht="12.75">
      <c r="A142" s="80" t="s">
        <v>260</v>
      </c>
      <c r="B142" s="90" t="s">
        <v>53</v>
      </c>
      <c r="C142" s="260"/>
      <c r="D142" s="189">
        <v>2100</v>
      </c>
      <c r="F142" s="27"/>
      <c r="H142" s="218">
        <v>40.8</v>
      </c>
    </row>
    <row r="143" spans="1:8" ht="12.75">
      <c r="A143" s="80" t="s">
        <v>261</v>
      </c>
      <c r="B143" s="72" t="s">
        <v>52</v>
      </c>
      <c r="C143" s="49"/>
      <c r="D143" s="189">
        <v>20000</v>
      </c>
      <c r="F143" s="27"/>
      <c r="H143" s="218">
        <v>18426.61</v>
      </c>
    </row>
    <row r="144" spans="1:8" ht="12.75">
      <c r="A144" s="80" t="s">
        <v>262</v>
      </c>
      <c r="B144" s="72" t="s">
        <v>51</v>
      </c>
      <c r="C144" s="49"/>
      <c r="D144" s="189">
        <v>40863.91</v>
      </c>
      <c r="F144" s="27"/>
      <c r="H144" s="218">
        <v>52518.02</v>
      </c>
    </row>
    <row r="145" spans="1:8" ht="12.75">
      <c r="A145" s="80" t="s">
        <v>263</v>
      </c>
      <c r="B145" s="72" t="s">
        <v>50</v>
      </c>
      <c r="C145" s="49"/>
      <c r="D145" s="189"/>
      <c r="F145" s="27"/>
      <c r="H145" s="218"/>
    </row>
    <row r="146" spans="1:8" ht="12.75">
      <c r="A146" s="80" t="s">
        <v>264</v>
      </c>
      <c r="B146" s="72" t="s">
        <v>49</v>
      </c>
      <c r="C146" s="49"/>
      <c r="D146" s="189">
        <v>46584</v>
      </c>
      <c r="F146" s="27"/>
      <c r="H146" s="218">
        <v>42439.96</v>
      </c>
    </row>
    <row r="147" spans="1:8" ht="12.75">
      <c r="A147" s="80" t="s">
        <v>265</v>
      </c>
      <c r="B147" s="90" t="s">
        <v>48</v>
      </c>
      <c r="C147" s="260"/>
      <c r="D147" s="189">
        <v>7000</v>
      </c>
      <c r="F147" s="27"/>
      <c r="H147" s="218">
        <v>5400</v>
      </c>
    </row>
    <row r="148" spans="1:8" ht="12.75">
      <c r="A148" s="80" t="s">
        <v>266</v>
      </c>
      <c r="B148" s="72" t="s">
        <v>47</v>
      </c>
      <c r="C148" s="49"/>
      <c r="D148" s="189"/>
      <c r="F148"/>
      <c r="H148" s="218"/>
    </row>
    <row r="149" spans="1:8" ht="12.75">
      <c r="A149" s="80" t="s">
        <v>267</v>
      </c>
      <c r="B149" s="72" t="s">
        <v>46</v>
      </c>
      <c r="C149" s="54"/>
      <c r="D149" s="189">
        <v>48864.05</v>
      </c>
      <c r="F149" s="27"/>
      <c r="H149" s="218">
        <v>39596.02</v>
      </c>
    </row>
    <row r="150" spans="1:8" ht="12.75">
      <c r="A150" s="80" t="s">
        <v>268</v>
      </c>
      <c r="B150" s="72" t="s">
        <v>45</v>
      </c>
      <c r="C150" s="54"/>
      <c r="D150" s="189"/>
      <c r="F150" s="27"/>
      <c r="H150" s="218"/>
    </row>
    <row r="151" spans="1:8" ht="12.75">
      <c r="A151" s="80" t="s">
        <v>269</v>
      </c>
      <c r="B151" s="72" t="s">
        <v>44</v>
      </c>
      <c r="C151" s="54"/>
      <c r="D151" s="189"/>
      <c r="F151" s="27"/>
      <c r="H151" s="218"/>
    </row>
    <row r="152" spans="1:8" ht="12.75">
      <c r="A152" s="80" t="s">
        <v>270</v>
      </c>
      <c r="B152" s="72" t="s">
        <v>43</v>
      </c>
      <c r="C152" s="54"/>
      <c r="D152" s="189"/>
      <c r="F152" s="27"/>
      <c r="H152" s="218"/>
    </row>
    <row r="153" spans="1:8" ht="12.75">
      <c r="A153" s="80" t="s">
        <v>271</v>
      </c>
      <c r="B153" s="85" t="s">
        <v>42</v>
      </c>
      <c r="C153" s="54"/>
      <c r="D153" s="190">
        <v>7857.18</v>
      </c>
      <c r="F153" s="27"/>
      <c r="H153" s="220">
        <v>5627.14</v>
      </c>
    </row>
    <row r="154" spans="1:8" ht="12.75">
      <c r="A154" s="80" t="s">
        <v>272</v>
      </c>
      <c r="B154" s="72" t="s">
        <v>41</v>
      </c>
      <c r="C154" s="54"/>
      <c r="D154" s="189">
        <v>10789</v>
      </c>
      <c r="F154" s="27"/>
      <c r="H154" s="218">
        <v>9498.71</v>
      </c>
    </row>
    <row r="155" spans="1:8" ht="12.75">
      <c r="A155" s="80" t="s">
        <v>273</v>
      </c>
      <c r="B155" s="72" t="s">
        <v>40</v>
      </c>
      <c r="C155" s="54"/>
      <c r="D155" s="189">
        <v>38486.42</v>
      </c>
      <c r="F155" s="27"/>
      <c r="H155" s="218">
        <v>36670.1</v>
      </c>
    </row>
    <row r="156" spans="1:8" ht="13.5" thickBot="1">
      <c r="A156" s="83"/>
      <c r="B156" s="72" t="s">
        <v>39</v>
      </c>
      <c r="C156" s="54"/>
      <c r="D156" s="189"/>
      <c r="F156" s="27"/>
      <c r="H156" s="218"/>
    </row>
    <row r="157" spans="1:8" ht="13.5" thickBot="1">
      <c r="A157" s="84"/>
      <c r="B157" s="91"/>
      <c r="C157" s="58"/>
      <c r="D157" s="195"/>
      <c r="F157" s="375"/>
      <c r="H157" s="341"/>
    </row>
    <row r="158" spans="1:8" ht="22.5" thickBot="1">
      <c r="A158" s="70"/>
      <c r="B158" s="31" t="s">
        <v>38</v>
      </c>
      <c r="C158" s="31"/>
      <c r="D158" s="30" t="s">
        <v>37</v>
      </c>
      <c r="F158" s="376"/>
      <c r="H158" s="30" t="s">
        <v>37</v>
      </c>
    </row>
    <row r="159" spans="1:8" ht="13.5" thickBot="1">
      <c r="A159" s="75"/>
      <c r="B159" s="342"/>
      <c r="C159" s="342"/>
      <c r="D159" s="343"/>
      <c r="F159" s="344"/>
      <c r="H159" s="345"/>
    </row>
    <row r="160" spans="1:9" ht="12.75">
      <c r="A160" s="75"/>
      <c r="B160" s="39" t="s">
        <v>36</v>
      </c>
      <c r="C160" s="59"/>
      <c r="D160" s="247">
        <f>H160+D49</f>
        <v>1235226.17</v>
      </c>
      <c r="E160" s="1" t="s">
        <v>320</v>
      </c>
      <c r="F160" s="247" t="s">
        <v>321</v>
      </c>
      <c r="H160" s="177">
        <v>804654.17</v>
      </c>
      <c r="I160" s="251" t="s">
        <v>353</v>
      </c>
    </row>
    <row r="161" spans="1:9" ht="23.25" thickBot="1">
      <c r="A161" s="75"/>
      <c r="B161" s="29"/>
      <c r="C161" s="10" t="s">
        <v>336</v>
      </c>
      <c r="D161" s="175"/>
      <c r="F161" s="27"/>
      <c r="H161" s="171"/>
      <c r="I161" s="251" t="s">
        <v>354</v>
      </c>
    </row>
    <row r="162" spans="1:9" ht="13.5" thickBot="1">
      <c r="A162" s="73"/>
      <c r="B162" s="60" t="s">
        <v>285</v>
      </c>
      <c r="C162" s="61"/>
      <c r="D162" s="248">
        <f>H162+D52</f>
        <v>5500</v>
      </c>
      <c r="E162" s="1" t="s">
        <v>320</v>
      </c>
      <c r="F162" s="247" t="s">
        <v>321</v>
      </c>
      <c r="H162" s="196">
        <v>151365.93</v>
      </c>
      <c r="I162" s="251" t="s">
        <v>355</v>
      </c>
    </row>
    <row r="163" spans="1:8" ht="12.75">
      <c r="A163" s="86" t="s">
        <v>35</v>
      </c>
      <c r="B163" s="62"/>
      <c r="D163" s="197"/>
      <c r="F163" s="27"/>
      <c r="H163" s="197"/>
    </row>
    <row r="164" spans="1:8" ht="12.75">
      <c r="A164" s="86" t="s">
        <v>34</v>
      </c>
      <c r="B164" s="62"/>
      <c r="D164" s="197"/>
      <c r="F164" s="27"/>
      <c r="H164" s="197"/>
    </row>
    <row r="165" spans="1:8" ht="12.75">
      <c r="A165" s="105" t="s">
        <v>32</v>
      </c>
      <c r="B165" s="28"/>
      <c r="D165" s="198">
        <f>IF(D160-D162&lt;0,0,D160-D162)/D6</f>
        <v>0.36640759258321237</v>
      </c>
      <c r="F165" s="105"/>
      <c r="H165" s="198">
        <f>IF(H160-H162&lt;0,0,H160-H162)/H6</f>
        <v>0.19641261548859298</v>
      </c>
    </row>
    <row r="166" spans="1:11" s="63" customFormat="1" ht="12.75">
      <c r="A166" s="149" t="s">
        <v>167</v>
      </c>
      <c r="D166" s="226">
        <f>D48+D49-D52+D53</f>
        <v>-5.820766091346741E-11</v>
      </c>
      <c r="E166"/>
      <c r="H166" s="226">
        <f>H48+H49-H52+H53</f>
        <v>-7.275957614183426E-11</v>
      </c>
      <c r="I166"/>
      <c r="J166"/>
      <c r="K166"/>
    </row>
    <row r="167" spans="1:11" s="63" customFormat="1" ht="12.75">
      <c r="A167" s="227"/>
      <c r="B167"/>
      <c r="C167"/>
      <c r="D167" s="225"/>
      <c r="E167"/>
      <c r="H167" s="231"/>
      <c r="I167"/>
      <c r="J167"/>
      <c r="K167"/>
    </row>
    <row r="168" spans="1:11" s="63" customFormat="1" ht="12.75">
      <c r="A168" s="253" t="s">
        <v>323</v>
      </c>
      <c r="B168" s="254"/>
      <c r="C168" s="255"/>
      <c r="D168" s="256" t="str">
        <f>IF(ROUND(SUM(-D24-D37-D39-D41-D43-D45-D47),2)=ROUND(D55,2),"OK",CONCATENATE("Vahe=",ROUND(SUM(-D24-D37-D39-D41-D43-D45-D47)-D55,2)))</f>
        <v>OK</v>
      </c>
      <c r="E168"/>
      <c r="F168" s="228"/>
      <c r="G168" s="228"/>
      <c r="H168" s="256" t="str">
        <f>IF(ROUND(SUM(-H24-H37-H39-H41-H43-H45-H47),2)=ROUND(H55,2),"OK",CONCATENATE("Vahe=",ROUND(SUM(-H24-H37-H39-H41-H43-H45-H47)-H55,2)))</f>
        <v>OK</v>
      </c>
      <c r="I168"/>
      <c r="J168"/>
      <c r="K168"/>
    </row>
    <row r="169" spans="1:11" s="63" customFormat="1" ht="12.75">
      <c r="A169" s="229"/>
      <c r="B169"/>
      <c r="C169"/>
      <c r="D169" s="230"/>
      <c r="E169"/>
      <c r="H169" s="93"/>
      <c r="I169"/>
      <c r="J169"/>
      <c r="K169"/>
    </row>
    <row r="170" spans="1:11" s="63" customFormat="1" ht="12.75">
      <c r="A170" s="96"/>
      <c r="B170"/>
      <c r="C170"/>
      <c r="D170" s="232"/>
      <c r="E170"/>
      <c r="F170"/>
      <c r="G170" s="224"/>
      <c r="H170" s="224"/>
      <c r="I170"/>
      <c r="J170"/>
      <c r="K170"/>
    </row>
    <row r="171" spans="1:8" ht="12.75">
      <c r="A171"/>
      <c r="B171"/>
      <c r="C171"/>
      <c r="D171"/>
      <c r="F171" s="27"/>
      <c r="H171"/>
    </row>
    <row r="172" spans="1:8" ht="12.75">
      <c r="A172"/>
      <c r="B172"/>
      <c r="C172"/>
      <c r="D172"/>
      <c r="F172" s="26"/>
      <c r="H172"/>
    </row>
    <row r="173" spans="1:8" ht="12.75">
      <c r="A173"/>
      <c r="B173"/>
      <c r="C173"/>
      <c r="D173"/>
      <c r="F173" s="27"/>
      <c r="H173"/>
    </row>
    <row r="174" spans="1:11" s="63" customFormat="1" ht="12.75">
      <c r="A174"/>
      <c r="B174"/>
      <c r="C174"/>
      <c r="D174"/>
      <c r="E174"/>
      <c r="H174"/>
      <c r="I174"/>
      <c r="J174"/>
      <c r="K174"/>
    </row>
    <row r="175" spans="1:11" s="63" customFormat="1" ht="12.75">
      <c r="A175"/>
      <c r="B175"/>
      <c r="C175"/>
      <c r="D175"/>
      <c r="E175"/>
      <c r="H175"/>
      <c r="I175"/>
      <c r="J175"/>
      <c r="K175"/>
    </row>
    <row r="176" spans="1:11" s="63" customFormat="1" ht="12.75">
      <c r="A176"/>
      <c r="B176"/>
      <c r="C176"/>
      <c r="D176"/>
      <c r="E176"/>
      <c r="F176" s="105"/>
      <c r="H176"/>
      <c r="I176"/>
      <c r="J176"/>
      <c r="K176"/>
    </row>
    <row r="177" spans="1:11" s="63" customFormat="1" ht="12.75">
      <c r="A177"/>
      <c r="B177"/>
      <c r="C177"/>
      <c r="D177"/>
      <c r="E177"/>
      <c r="H177"/>
      <c r="I177"/>
      <c r="J177"/>
      <c r="K177"/>
    </row>
    <row r="178" spans="1:11" s="63" customFormat="1" ht="12.75">
      <c r="A178"/>
      <c r="B178"/>
      <c r="C178"/>
      <c r="D178"/>
      <c r="E178"/>
      <c r="H178"/>
      <c r="I178"/>
      <c r="J178"/>
      <c r="K178"/>
    </row>
    <row r="179" spans="1:11" s="63" customFormat="1" ht="12.75">
      <c r="A179" s="149"/>
      <c r="D179" s="106"/>
      <c r="E179"/>
      <c r="F179" s="93"/>
      <c r="I179"/>
      <c r="J179"/>
      <c r="K179"/>
    </row>
    <row r="180" spans="1:11" s="63" customFormat="1" ht="12.75">
      <c r="A180" s="149"/>
      <c r="D180" s="106"/>
      <c r="E180"/>
      <c r="F180" s="93"/>
      <c r="I180"/>
      <c r="J180"/>
      <c r="K180"/>
    </row>
    <row r="181" spans="1:11" s="63" customFormat="1" ht="12.75">
      <c r="A181" s="149"/>
      <c r="D181" s="106"/>
      <c r="E181"/>
      <c r="F181" s="93"/>
      <c r="I181"/>
      <c r="J181"/>
      <c r="K181"/>
    </row>
    <row r="182" spans="1:11" s="63" customFormat="1" ht="12.75">
      <c r="A182" s="149"/>
      <c r="D182" s="106"/>
      <c r="E182"/>
      <c r="F182" s="93"/>
      <c r="I182"/>
      <c r="J182"/>
      <c r="K182"/>
    </row>
    <row r="183" spans="1:11" s="63" customFormat="1" ht="12.75">
      <c r="A183" s="149"/>
      <c r="D183" s="106"/>
      <c r="E183"/>
      <c r="F183" s="93"/>
      <c r="I183"/>
      <c r="J183"/>
      <c r="K183"/>
    </row>
    <row r="184" spans="1:11" s="63" customFormat="1" ht="12.75">
      <c r="A184" s="149"/>
      <c r="D184" s="106"/>
      <c r="E184"/>
      <c r="F184" s="93"/>
      <c r="I184"/>
      <c r="J184"/>
      <c r="K184"/>
    </row>
    <row r="185" spans="1:11" s="63" customFormat="1" ht="12.75">
      <c r="A185" s="149"/>
      <c r="D185" s="106"/>
      <c r="E185"/>
      <c r="F185" s="93"/>
      <c r="I185"/>
      <c r="J185"/>
      <c r="K185"/>
    </row>
    <row r="186" spans="1:11" s="63" customFormat="1" ht="12.75">
      <c r="A186" s="149"/>
      <c r="D186" s="106"/>
      <c r="E186"/>
      <c r="F186" s="93"/>
      <c r="I186"/>
      <c r="J186"/>
      <c r="K186"/>
    </row>
    <row r="187" spans="1:11" s="63" customFormat="1" ht="12.75">
      <c r="A187" s="149"/>
      <c r="D187" s="106"/>
      <c r="E187"/>
      <c r="F187" s="93"/>
      <c r="I187"/>
      <c r="J187"/>
      <c r="K187"/>
    </row>
    <row r="188" spans="1:11" s="63" customFormat="1" ht="12.75">
      <c r="A188" s="149"/>
      <c r="E188"/>
      <c r="F188" s="93"/>
      <c r="I188"/>
      <c r="J188"/>
      <c r="K188"/>
    </row>
    <row r="189" spans="1:11" s="63" customFormat="1" ht="12.75">
      <c r="A189" s="149"/>
      <c r="E189"/>
      <c r="F189" s="93"/>
      <c r="I189"/>
      <c r="J189"/>
      <c r="K189"/>
    </row>
    <row r="190" spans="1:11" s="63" customFormat="1" ht="12.75">
      <c r="A190" s="149"/>
      <c r="E190"/>
      <c r="F190" s="93"/>
      <c r="I190"/>
      <c r="J190"/>
      <c r="K190"/>
    </row>
    <row r="191" spans="1:11" s="63" customFormat="1" ht="12.75">
      <c r="A191" s="149"/>
      <c r="E191"/>
      <c r="F191" s="93"/>
      <c r="I191"/>
      <c r="J191"/>
      <c r="K191"/>
    </row>
    <row r="192" spans="1:11" s="63" customFormat="1" ht="12.75">
      <c r="A192" s="149"/>
      <c r="E192"/>
      <c r="F192" s="93"/>
      <c r="I192"/>
      <c r="J192"/>
      <c r="K192"/>
    </row>
    <row r="193" spans="1:11" s="63" customFormat="1" ht="12.75">
      <c r="A193" s="149"/>
      <c r="E193"/>
      <c r="F193" s="93"/>
      <c r="I193"/>
      <c r="J193"/>
      <c r="K193"/>
    </row>
    <row r="194" spans="1:11" s="63" customFormat="1" ht="12.75">
      <c r="A194" s="149"/>
      <c r="E194"/>
      <c r="F194" s="93"/>
      <c r="I194"/>
      <c r="J194"/>
      <c r="K194"/>
    </row>
    <row r="195" spans="1:11" s="63" customFormat="1" ht="12.75">
      <c r="A195" s="149"/>
      <c r="E195"/>
      <c r="F195" s="93"/>
      <c r="I195"/>
      <c r="J195"/>
      <c r="K195"/>
    </row>
    <row r="196" spans="1:11" s="63" customFormat="1" ht="12.75">
      <c r="A196" s="149"/>
      <c r="E196"/>
      <c r="F196" s="93"/>
      <c r="I196"/>
      <c r="J196"/>
      <c r="K196"/>
    </row>
    <row r="197" spans="1:11" s="63" customFormat="1" ht="12.75">
      <c r="A197" s="149"/>
      <c r="E197"/>
      <c r="F197" s="93"/>
      <c r="I197"/>
      <c r="J197"/>
      <c r="K197"/>
    </row>
    <row r="198" spans="1:11" s="63" customFormat="1" ht="12.75">
      <c r="A198" s="149"/>
      <c r="E198"/>
      <c r="F198" s="93"/>
      <c r="I198"/>
      <c r="J198"/>
      <c r="K198"/>
    </row>
    <row r="199" spans="1:11" s="63" customFormat="1" ht="12.75">
      <c r="A199" s="149"/>
      <c r="E199"/>
      <c r="F199" s="93"/>
      <c r="I199"/>
      <c r="J199"/>
      <c r="K199"/>
    </row>
    <row r="200" spans="1:11" s="63" customFormat="1" ht="12.75">
      <c r="A200" s="149"/>
      <c r="E200"/>
      <c r="F200" s="93"/>
      <c r="I200"/>
      <c r="J200"/>
      <c r="K200"/>
    </row>
    <row r="201" spans="1:11" s="63" customFormat="1" ht="12.75">
      <c r="A201" s="149"/>
      <c r="E201"/>
      <c r="F201" s="93"/>
      <c r="I201"/>
      <c r="J201"/>
      <c r="K201"/>
    </row>
    <row r="202" spans="1:11" s="63" customFormat="1" ht="12.75">
      <c r="A202" s="149"/>
      <c r="E202"/>
      <c r="F202" s="93"/>
      <c r="I202"/>
      <c r="J202"/>
      <c r="K202"/>
    </row>
    <row r="203" spans="1:11" s="63" customFormat="1" ht="12.75">
      <c r="A203" s="149"/>
      <c r="E203"/>
      <c r="F203" s="93"/>
      <c r="I203"/>
      <c r="J203"/>
      <c r="K203"/>
    </row>
    <row r="204" spans="1:11" s="63" customFormat="1" ht="12.75">
      <c r="A204" s="149"/>
      <c r="E204"/>
      <c r="F204" s="93"/>
      <c r="I204"/>
      <c r="J204"/>
      <c r="K204"/>
    </row>
    <row r="205" spans="1:11" s="63" customFormat="1" ht="12.75">
      <c r="A205" s="149"/>
      <c r="E205"/>
      <c r="F205" s="93"/>
      <c r="I205"/>
      <c r="J205"/>
      <c r="K205"/>
    </row>
    <row r="206" spans="1:11" s="63" customFormat="1" ht="12.75">
      <c r="A206" s="149"/>
      <c r="E206"/>
      <c r="F206" s="93"/>
      <c r="I206"/>
      <c r="J206"/>
      <c r="K206"/>
    </row>
    <row r="207" spans="1:11" s="63" customFormat="1" ht="12.75">
      <c r="A207" s="149"/>
      <c r="E207"/>
      <c r="F207" s="93"/>
      <c r="I207"/>
      <c r="J207"/>
      <c r="K207"/>
    </row>
    <row r="208" spans="1:11" s="63" customFormat="1" ht="12.75">
      <c r="A208" s="149"/>
      <c r="E208"/>
      <c r="F208" s="93"/>
      <c r="I208"/>
      <c r="J208"/>
      <c r="K208"/>
    </row>
    <row r="209" spans="1:11" s="63" customFormat="1" ht="12.75">
      <c r="A209" s="149"/>
      <c r="E209"/>
      <c r="F209" s="93"/>
      <c r="I209"/>
      <c r="J209"/>
      <c r="K209"/>
    </row>
    <row r="210" spans="1:11" s="63" customFormat="1" ht="12.75">
      <c r="A210" s="149"/>
      <c r="E210"/>
      <c r="F210" s="93"/>
      <c r="I210"/>
      <c r="J210"/>
      <c r="K210"/>
    </row>
    <row r="211" spans="1:11" s="63" customFormat="1" ht="12.75">
      <c r="A211" s="149"/>
      <c r="E211"/>
      <c r="F211" s="93"/>
      <c r="I211"/>
      <c r="J211"/>
      <c r="K211"/>
    </row>
    <row r="212" spans="1:11" s="63" customFormat="1" ht="12.75">
      <c r="A212" s="149"/>
      <c r="E212"/>
      <c r="F212" s="93"/>
      <c r="I212"/>
      <c r="J212"/>
      <c r="K212"/>
    </row>
    <row r="213" spans="1:11" s="63" customFormat="1" ht="12.75">
      <c r="A213" s="149"/>
      <c r="E213"/>
      <c r="F213" s="93"/>
      <c r="I213"/>
      <c r="J213"/>
      <c r="K213"/>
    </row>
    <row r="214" spans="1:11" s="63" customFormat="1" ht="12.75">
      <c r="A214" s="149"/>
      <c r="E214"/>
      <c r="F214" s="93"/>
      <c r="I214"/>
      <c r="J214"/>
      <c r="K214"/>
    </row>
    <row r="215" spans="1:11" s="63" customFormat="1" ht="12.75">
      <c r="A215" s="149"/>
      <c r="E215"/>
      <c r="F215" s="93"/>
      <c r="I215"/>
      <c r="J215"/>
      <c r="K215"/>
    </row>
    <row r="216" spans="1:11" s="63" customFormat="1" ht="12.75">
      <c r="A216" s="149"/>
      <c r="E216"/>
      <c r="F216" s="93"/>
      <c r="I216"/>
      <c r="J216"/>
      <c r="K216"/>
    </row>
    <row r="217" spans="1:11" s="63" customFormat="1" ht="12.75">
      <c r="A217" s="149"/>
      <c r="E217"/>
      <c r="F217" s="93"/>
      <c r="I217"/>
      <c r="J217"/>
      <c r="K217"/>
    </row>
    <row r="218" spans="1:11" s="63" customFormat="1" ht="12.75">
      <c r="A218" s="149"/>
      <c r="E218"/>
      <c r="F218" s="93"/>
      <c r="I218"/>
      <c r="J218"/>
      <c r="K218"/>
    </row>
    <row r="219" spans="1:11" s="63" customFormat="1" ht="12.75">
      <c r="A219" s="149"/>
      <c r="E219"/>
      <c r="F219" s="93"/>
      <c r="I219"/>
      <c r="J219"/>
      <c r="K219"/>
    </row>
    <row r="220" spans="1:11" s="63" customFormat="1" ht="12.75">
      <c r="A220" s="149"/>
      <c r="E220"/>
      <c r="F220" s="93"/>
      <c r="I220"/>
      <c r="J220"/>
      <c r="K220"/>
    </row>
    <row r="221" spans="1:11" s="63" customFormat="1" ht="12.75">
      <c r="A221" s="149"/>
      <c r="E221"/>
      <c r="F221" s="93"/>
      <c r="I221"/>
      <c r="J221"/>
      <c r="K221"/>
    </row>
    <row r="222" spans="1:11" s="63" customFormat="1" ht="12.75">
      <c r="A222" s="149"/>
      <c r="E222"/>
      <c r="F222" s="93"/>
      <c r="I222"/>
      <c r="J222"/>
      <c r="K222"/>
    </row>
    <row r="223" spans="1:11" s="63" customFormat="1" ht="12.75">
      <c r="A223" s="149"/>
      <c r="E223"/>
      <c r="F223" s="93"/>
      <c r="I223"/>
      <c r="J223"/>
      <c r="K223"/>
    </row>
    <row r="224" spans="1:11" s="63" customFormat="1" ht="12.75">
      <c r="A224" s="149"/>
      <c r="E224"/>
      <c r="F224" s="93"/>
      <c r="I224"/>
      <c r="J224"/>
      <c r="K224"/>
    </row>
    <row r="225" spans="1:11" s="63" customFormat="1" ht="12.75">
      <c r="A225" s="149"/>
      <c r="E225"/>
      <c r="F225" s="93"/>
      <c r="I225"/>
      <c r="J225"/>
      <c r="K225"/>
    </row>
    <row r="226" spans="1:11" s="63" customFormat="1" ht="12.75">
      <c r="A226" s="149"/>
      <c r="E226"/>
      <c r="F226" s="93"/>
      <c r="I226"/>
      <c r="J226"/>
      <c r="K226"/>
    </row>
    <row r="227" spans="1:11" s="63" customFormat="1" ht="12.75">
      <c r="A227" s="149"/>
      <c r="E227"/>
      <c r="F227" s="93"/>
      <c r="I227"/>
      <c r="J227"/>
      <c r="K227"/>
    </row>
    <row r="228" spans="1:11" s="63" customFormat="1" ht="12.75">
      <c r="A228" s="149"/>
      <c r="E228"/>
      <c r="F228" s="93"/>
      <c r="I228"/>
      <c r="J228"/>
      <c r="K228"/>
    </row>
    <row r="229" spans="1:11" s="63" customFormat="1" ht="12.75">
      <c r="A229" s="149"/>
      <c r="E229"/>
      <c r="F229" s="93"/>
      <c r="I229"/>
      <c r="J229"/>
      <c r="K229"/>
    </row>
    <row r="230" spans="1:11" s="63" customFormat="1" ht="12.75">
      <c r="A230" s="149"/>
      <c r="E230"/>
      <c r="F230" s="93"/>
      <c r="I230"/>
      <c r="J230"/>
      <c r="K230"/>
    </row>
    <row r="231" spans="1:11" s="63" customFormat="1" ht="12.75">
      <c r="A231" s="149"/>
      <c r="E231"/>
      <c r="F231" s="93"/>
      <c r="I231"/>
      <c r="J231"/>
      <c r="K231"/>
    </row>
    <row r="232" spans="1:11" s="63" customFormat="1" ht="12.75">
      <c r="A232" s="149"/>
      <c r="E232"/>
      <c r="F232" s="93"/>
      <c r="I232"/>
      <c r="J232"/>
      <c r="K232"/>
    </row>
    <row r="233" spans="1:11" s="63" customFormat="1" ht="12.75">
      <c r="A233" s="149"/>
      <c r="E233"/>
      <c r="F233" s="93"/>
      <c r="I233"/>
      <c r="J233"/>
      <c r="K233"/>
    </row>
    <row r="234" spans="1:11" s="63" customFormat="1" ht="12.75">
      <c r="A234" s="149"/>
      <c r="E234"/>
      <c r="F234" s="93"/>
      <c r="I234"/>
      <c r="J234"/>
      <c r="K234"/>
    </row>
    <row r="235" spans="1:11" s="63" customFormat="1" ht="12.75">
      <c r="A235" s="149"/>
      <c r="E235"/>
      <c r="F235" s="93"/>
      <c r="I235"/>
      <c r="J235"/>
      <c r="K235"/>
    </row>
    <row r="236" spans="1:11" s="63" customFormat="1" ht="12.75">
      <c r="A236" s="149"/>
      <c r="E236"/>
      <c r="F236" s="93"/>
      <c r="I236"/>
      <c r="J236"/>
      <c r="K236"/>
    </row>
    <row r="237" spans="1:11" s="63" customFormat="1" ht="12.75">
      <c r="A237" s="149"/>
      <c r="E237"/>
      <c r="F237" s="93"/>
      <c r="I237"/>
      <c r="J237"/>
      <c r="K237"/>
    </row>
    <row r="238" spans="1:11" s="63" customFormat="1" ht="12.75">
      <c r="A238" s="149"/>
      <c r="E238"/>
      <c r="F238" s="93"/>
      <c r="I238"/>
      <c r="J238"/>
      <c r="K238"/>
    </row>
    <row r="239" spans="1:11" s="63" customFormat="1" ht="12.75">
      <c r="A239" s="149"/>
      <c r="E239"/>
      <c r="F239" s="93"/>
      <c r="I239"/>
      <c r="J239"/>
      <c r="K239"/>
    </row>
    <row r="240" spans="1:11" s="63" customFormat="1" ht="12.75">
      <c r="A240" s="149"/>
      <c r="E240"/>
      <c r="F240" s="93"/>
      <c r="I240"/>
      <c r="J240"/>
      <c r="K240"/>
    </row>
    <row r="241" spans="1:11" s="63" customFormat="1" ht="12.75">
      <c r="A241" s="149"/>
      <c r="E241"/>
      <c r="F241" s="93"/>
      <c r="I241"/>
      <c r="J241"/>
      <c r="K241"/>
    </row>
    <row r="242" spans="1:11" s="63" customFormat="1" ht="12.75">
      <c r="A242" s="149"/>
      <c r="E242"/>
      <c r="F242" s="93"/>
      <c r="I242"/>
      <c r="J242"/>
      <c r="K242"/>
    </row>
    <row r="243" spans="1:11" s="63" customFormat="1" ht="12.75">
      <c r="A243" s="149"/>
      <c r="E243"/>
      <c r="F243" s="93"/>
      <c r="I243"/>
      <c r="J243"/>
      <c r="K243"/>
    </row>
    <row r="244" spans="1:11" s="63" customFormat="1" ht="12.75">
      <c r="A244" s="149"/>
      <c r="E244"/>
      <c r="F244" s="93"/>
      <c r="I244"/>
      <c r="J244"/>
      <c r="K244"/>
    </row>
    <row r="245" spans="1:11" s="63" customFormat="1" ht="12.75">
      <c r="A245" s="149"/>
      <c r="E245"/>
      <c r="F245" s="93"/>
      <c r="I245"/>
      <c r="J245"/>
      <c r="K245"/>
    </row>
    <row r="246" spans="1:11" s="63" customFormat="1" ht="12.75">
      <c r="A246" s="149"/>
      <c r="E246"/>
      <c r="F246" s="93"/>
      <c r="I246"/>
      <c r="J246"/>
      <c r="K246"/>
    </row>
    <row r="247" spans="1:11" s="63" customFormat="1" ht="12.75">
      <c r="A247" s="149"/>
      <c r="E247"/>
      <c r="F247" s="93"/>
      <c r="I247"/>
      <c r="J247"/>
      <c r="K247"/>
    </row>
    <row r="248" spans="1:11" s="63" customFormat="1" ht="12.75">
      <c r="A248" s="149"/>
      <c r="E248"/>
      <c r="F248" s="93"/>
      <c r="I248"/>
      <c r="J248"/>
      <c r="K248"/>
    </row>
    <row r="249" spans="1:11" s="63" customFormat="1" ht="12.75">
      <c r="A249" s="149"/>
      <c r="E249"/>
      <c r="F249" s="93"/>
      <c r="I249"/>
      <c r="J249"/>
      <c r="K249"/>
    </row>
    <row r="250" spans="1:11" s="63" customFormat="1" ht="12.75">
      <c r="A250" s="149"/>
      <c r="E250"/>
      <c r="F250" s="93"/>
      <c r="I250"/>
      <c r="J250"/>
      <c r="K250"/>
    </row>
    <row r="251" spans="1:11" s="63" customFormat="1" ht="12.75">
      <c r="A251" s="149"/>
      <c r="E251"/>
      <c r="F251" s="93"/>
      <c r="I251"/>
      <c r="J251"/>
      <c r="K251"/>
    </row>
    <row r="252" spans="1:11" s="63" customFormat="1" ht="12.75">
      <c r="A252" s="149"/>
      <c r="E252"/>
      <c r="F252" s="93"/>
      <c r="I252"/>
      <c r="J252"/>
      <c r="K252"/>
    </row>
    <row r="253" spans="1:11" s="63" customFormat="1" ht="12.75">
      <c r="A253" s="149"/>
      <c r="E253"/>
      <c r="F253" s="93"/>
      <c r="I253"/>
      <c r="J253"/>
      <c r="K253"/>
    </row>
    <row r="254" spans="1:11" s="63" customFormat="1" ht="12.75">
      <c r="A254" s="149"/>
      <c r="E254"/>
      <c r="F254" s="93"/>
      <c r="I254"/>
      <c r="J254"/>
      <c r="K254"/>
    </row>
    <row r="255" spans="1:11" s="63" customFormat="1" ht="12.75">
      <c r="A255" s="149"/>
      <c r="E255"/>
      <c r="F255" s="93"/>
      <c r="I255"/>
      <c r="J255"/>
      <c r="K255"/>
    </row>
    <row r="256" spans="1:11" s="63" customFormat="1" ht="12.75">
      <c r="A256" s="149"/>
      <c r="E256"/>
      <c r="F256" s="93"/>
      <c r="I256"/>
      <c r="J256"/>
      <c r="K256"/>
    </row>
    <row r="257" spans="1:11" s="63" customFormat="1" ht="12.75">
      <c r="A257" s="149"/>
      <c r="E257"/>
      <c r="F257" s="93"/>
      <c r="I257"/>
      <c r="J257"/>
      <c r="K257"/>
    </row>
    <row r="258" spans="1:11" s="63" customFormat="1" ht="12.75">
      <c r="A258" s="149"/>
      <c r="E258"/>
      <c r="F258" s="93"/>
      <c r="I258"/>
      <c r="J258"/>
      <c r="K258"/>
    </row>
    <row r="259" spans="1:11" s="63" customFormat="1" ht="12.75">
      <c r="A259" s="149"/>
      <c r="E259"/>
      <c r="F259" s="93"/>
      <c r="I259"/>
      <c r="J259"/>
      <c r="K259"/>
    </row>
    <row r="260" spans="1:11" s="63" customFormat="1" ht="12.75">
      <c r="A260" s="149"/>
      <c r="E260"/>
      <c r="F260" s="93"/>
      <c r="I260"/>
      <c r="J260"/>
      <c r="K260"/>
    </row>
    <row r="261" spans="1:11" s="63" customFormat="1" ht="12.75">
      <c r="A261" s="149"/>
      <c r="E261"/>
      <c r="F261" s="93"/>
      <c r="I261"/>
      <c r="J261"/>
      <c r="K261"/>
    </row>
    <row r="262" spans="1:11" s="63" customFormat="1" ht="12.75">
      <c r="A262" s="149"/>
      <c r="E262"/>
      <c r="F262" s="93"/>
      <c r="I262"/>
      <c r="J262"/>
      <c r="K262"/>
    </row>
    <row r="263" spans="1:11" s="63" customFormat="1" ht="12.75">
      <c r="A263" s="149"/>
      <c r="E263"/>
      <c r="F263" s="93"/>
      <c r="I263"/>
      <c r="J263"/>
      <c r="K263"/>
    </row>
    <row r="264" spans="1:11" s="63" customFormat="1" ht="12.75">
      <c r="A264" s="149"/>
      <c r="E264"/>
      <c r="F264" s="93"/>
      <c r="I264"/>
      <c r="J264"/>
      <c r="K264"/>
    </row>
    <row r="265" spans="1:11" s="63" customFormat="1" ht="12.75">
      <c r="A265" s="149"/>
      <c r="E265"/>
      <c r="F265" s="93"/>
      <c r="I265"/>
      <c r="J265"/>
      <c r="K265"/>
    </row>
    <row r="266" spans="1:11" s="63" customFormat="1" ht="12.75">
      <c r="A266" s="149"/>
      <c r="E266"/>
      <c r="F266" s="93"/>
      <c r="I266"/>
      <c r="J266"/>
      <c r="K266"/>
    </row>
    <row r="267" spans="1:11" s="63" customFormat="1" ht="12.75">
      <c r="A267" s="149"/>
      <c r="E267"/>
      <c r="F267" s="93"/>
      <c r="I267"/>
      <c r="J267"/>
      <c r="K267"/>
    </row>
    <row r="268" spans="1:11" s="63" customFormat="1" ht="12.75">
      <c r="A268" s="149"/>
      <c r="E268"/>
      <c r="F268" s="93"/>
      <c r="I268"/>
      <c r="J268"/>
      <c r="K268"/>
    </row>
    <row r="269" spans="1:11" s="63" customFormat="1" ht="12.75">
      <c r="A269" s="149"/>
      <c r="E269"/>
      <c r="F269" s="93"/>
      <c r="I269"/>
      <c r="J269"/>
      <c r="K269"/>
    </row>
    <row r="270" spans="1:11" s="63" customFormat="1" ht="12.75">
      <c r="A270" s="149"/>
      <c r="E270"/>
      <c r="F270" s="93"/>
      <c r="I270"/>
      <c r="J270"/>
      <c r="K270"/>
    </row>
    <row r="271" spans="1:11" s="63" customFormat="1" ht="12.75">
      <c r="A271" s="149"/>
      <c r="E271"/>
      <c r="F271" s="93"/>
      <c r="I271"/>
      <c r="J271"/>
      <c r="K271"/>
    </row>
    <row r="272" spans="1:11" s="63" customFormat="1" ht="12.75">
      <c r="A272" s="149"/>
      <c r="E272"/>
      <c r="F272" s="93"/>
      <c r="I272"/>
      <c r="J272"/>
      <c r="K272"/>
    </row>
    <row r="273" spans="1:11" s="63" customFormat="1" ht="12.75">
      <c r="A273" s="149"/>
      <c r="E273"/>
      <c r="F273" s="93"/>
      <c r="I273"/>
      <c r="J273"/>
      <c r="K273"/>
    </row>
    <row r="274" spans="1:11" s="63" customFormat="1" ht="12.75">
      <c r="A274" s="149"/>
      <c r="E274"/>
      <c r="F274" s="93"/>
      <c r="I274"/>
      <c r="J274"/>
      <c r="K274"/>
    </row>
    <row r="275" spans="1:11" s="63" customFormat="1" ht="12.75">
      <c r="A275" s="149"/>
      <c r="E275"/>
      <c r="F275" s="93"/>
      <c r="I275"/>
      <c r="J275"/>
      <c r="K275"/>
    </row>
    <row r="276" spans="1:11" s="63" customFormat="1" ht="12.75">
      <c r="A276" s="149"/>
      <c r="E276"/>
      <c r="F276" s="93"/>
      <c r="I276"/>
      <c r="J276"/>
      <c r="K276"/>
    </row>
    <row r="277" spans="1:11" s="63" customFormat="1" ht="12.75">
      <c r="A277" s="149"/>
      <c r="E277"/>
      <c r="F277" s="93"/>
      <c r="I277"/>
      <c r="J277"/>
      <c r="K277"/>
    </row>
    <row r="278" spans="1:11" s="63" customFormat="1" ht="12.75">
      <c r="A278" s="149"/>
      <c r="E278"/>
      <c r="F278" s="93"/>
      <c r="I278"/>
      <c r="J278"/>
      <c r="K278"/>
    </row>
    <row r="279" spans="1:11" s="63" customFormat="1" ht="12.75">
      <c r="A279" s="149"/>
      <c r="E279"/>
      <c r="F279" s="93"/>
      <c r="I279"/>
      <c r="J279"/>
      <c r="K279"/>
    </row>
    <row r="280" spans="1:11" s="63" customFormat="1" ht="12.75">
      <c r="A280" s="149"/>
      <c r="E280"/>
      <c r="F280" s="93"/>
      <c r="I280"/>
      <c r="J280"/>
      <c r="K280"/>
    </row>
    <row r="281" spans="1:11" s="63" customFormat="1" ht="12.75">
      <c r="A281" s="149"/>
      <c r="E281"/>
      <c r="F281" s="93"/>
      <c r="I281"/>
      <c r="J281"/>
      <c r="K281"/>
    </row>
    <row r="282" spans="1:11" s="63" customFormat="1" ht="12.75">
      <c r="A282" s="149"/>
      <c r="E282"/>
      <c r="F282" s="93"/>
      <c r="I282"/>
      <c r="J282"/>
      <c r="K282"/>
    </row>
    <row r="283" spans="1:11" s="63" customFormat="1" ht="12.75">
      <c r="A283" s="149"/>
      <c r="E283"/>
      <c r="F283" s="93"/>
      <c r="I283"/>
      <c r="J283"/>
      <c r="K283"/>
    </row>
    <row r="284" spans="1:11" s="63" customFormat="1" ht="12.75">
      <c r="A284" s="149"/>
      <c r="E284"/>
      <c r="F284" s="93"/>
      <c r="I284"/>
      <c r="J284"/>
      <c r="K284"/>
    </row>
    <row r="285" spans="1:11" s="63" customFormat="1" ht="12.75">
      <c r="A285" s="149"/>
      <c r="E285"/>
      <c r="F285" s="93"/>
      <c r="I285"/>
      <c r="J285"/>
      <c r="K285"/>
    </row>
    <row r="286" spans="1:11" s="63" customFormat="1" ht="12.75">
      <c r="A286" s="149"/>
      <c r="E286"/>
      <c r="F286" s="93"/>
      <c r="I286"/>
      <c r="J286"/>
      <c r="K286"/>
    </row>
    <row r="287" spans="1:11" s="63" customFormat="1" ht="12.75">
      <c r="A287" s="149"/>
      <c r="E287"/>
      <c r="F287" s="93"/>
      <c r="I287"/>
      <c r="J287"/>
      <c r="K287"/>
    </row>
    <row r="288" spans="1:11" s="63" customFormat="1" ht="12.75">
      <c r="A288" s="149"/>
      <c r="E288"/>
      <c r="F288" s="93"/>
      <c r="I288"/>
      <c r="J288"/>
      <c r="K288"/>
    </row>
    <row r="289" spans="1:11" s="63" customFormat="1" ht="12.75">
      <c r="A289" s="149"/>
      <c r="E289"/>
      <c r="F289" s="93"/>
      <c r="I289"/>
      <c r="J289"/>
      <c r="K289"/>
    </row>
    <row r="290" spans="1:11" s="63" customFormat="1" ht="12.75">
      <c r="A290" s="149"/>
      <c r="E290"/>
      <c r="F290" s="93"/>
      <c r="I290"/>
      <c r="J290"/>
      <c r="K290"/>
    </row>
    <row r="291" spans="1:11" s="63" customFormat="1" ht="12.75">
      <c r="A291" s="149"/>
      <c r="E291"/>
      <c r="F291" s="93"/>
      <c r="I291"/>
      <c r="J291"/>
      <c r="K291"/>
    </row>
    <row r="292" spans="1:11" s="63" customFormat="1" ht="12.75">
      <c r="A292" s="149"/>
      <c r="E292"/>
      <c r="F292" s="93"/>
      <c r="I292"/>
      <c r="J292"/>
      <c r="K292"/>
    </row>
    <row r="293" spans="1:11" s="63" customFormat="1" ht="12.75">
      <c r="A293" s="149"/>
      <c r="E293"/>
      <c r="F293" s="93"/>
      <c r="I293"/>
      <c r="J293"/>
      <c r="K293"/>
    </row>
    <row r="294" spans="1:11" s="63" customFormat="1" ht="12.75">
      <c r="A294" s="149"/>
      <c r="E294"/>
      <c r="F294" s="93"/>
      <c r="I294"/>
      <c r="J294"/>
      <c r="K294"/>
    </row>
    <row r="295" spans="1:11" s="63" customFormat="1" ht="12.75">
      <c r="A295" s="149"/>
      <c r="E295"/>
      <c r="F295" s="93"/>
      <c r="I295"/>
      <c r="J295"/>
      <c r="K295"/>
    </row>
    <row r="296" spans="1:11" s="63" customFormat="1" ht="12.75">
      <c r="A296" s="149"/>
      <c r="E296"/>
      <c r="F296" s="93"/>
      <c r="I296"/>
      <c r="J296"/>
      <c r="K296"/>
    </row>
    <row r="297" spans="1:11" s="63" customFormat="1" ht="12.75">
      <c r="A297" s="149"/>
      <c r="E297"/>
      <c r="F297" s="93"/>
      <c r="I297"/>
      <c r="J297"/>
      <c r="K297"/>
    </row>
    <row r="298" spans="1:11" s="63" customFormat="1" ht="12.75">
      <c r="A298" s="149"/>
      <c r="E298"/>
      <c r="F298" s="93"/>
      <c r="I298"/>
      <c r="J298"/>
      <c r="K298"/>
    </row>
    <row r="299" spans="1:11" s="63" customFormat="1" ht="12.75">
      <c r="A299" s="149"/>
      <c r="E299"/>
      <c r="F299" s="93"/>
      <c r="I299"/>
      <c r="J299"/>
      <c r="K299"/>
    </row>
    <row r="300" spans="1:11" s="63" customFormat="1" ht="12.75">
      <c r="A300" s="149"/>
      <c r="E300"/>
      <c r="F300" s="93"/>
      <c r="I300"/>
      <c r="J300"/>
      <c r="K300"/>
    </row>
    <row r="301" spans="1:11" s="63" customFormat="1" ht="12.75">
      <c r="A301" s="149"/>
      <c r="E301"/>
      <c r="F301" s="93"/>
      <c r="I301"/>
      <c r="J301"/>
      <c r="K301"/>
    </row>
    <row r="302" spans="1:11" s="63" customFormat="1" ht="12.75">
      <c r="A302" s="149"/>
      <c r="E302"/>
      <c r="F302" s="93"/>
      <c r="I302"/>
      <c r="J302"/>
      <c r="K302"/>
    </row>
    <row r="303" spans="1:11" s="63" customFormat="1" ht="12.75">
      <c r="A303" s="149"/>
      <c r="E303"/>
      <c r="F303" s="93"/>
      <c r="I303"/>
      <c r="J303"/>
      <c r="K303"/>
    </row>
    <row r="304" spans="1:11" s="63" customFormat="1" ht="12.75">
      <c r="A304" s="149"/>
      <c r="E304"/>
      <c r="F304" s="93"/>
      <c r="I304"/>
      <c r="J304"/>
      <c r="K304"/>
    </row>
    <row r="305" spans="1:11" s="63" customFormat="1" ht="12.75">
      <c r="A305" s="149"/>
      <c r="E305"/>
      <c r="F305" s="93"/>
      <c r="I305"/>
      <c r="J305"/>
      <c r="K305"/>
    </row>
    <row r="306" spans="1:11" s="63" customFormat="1" ht="12.75">
      <c r="A306" s="149"/>
      <c r="E306"/>
      <c r="F306" s="93"/>
      <c r="I306"/>
      <c r="J306"/>
      <c r="K306"/>
    </row>
    <row r="307" spans="1:11" s="63" customFormat="1" ht="12.75">
      <c r="A307" s="149"/>
      <c r="E307"/>
      <c r="F307" s="93"/>
      <c r="I307"/>
      <c r="J307"/>
      <c r="K307"/>
    </row>
    <row r="308" spans="1:11" s="63" customFormat="1" ht="12.75">
      <c r="A308" s="149"/>
      <c r="E308"/>
      <c r="F308" s="93"/>
      <c r="I308"/>
      <c r="J308"/>
      <c r="K308"/>
    </row>
    <row r="309" spans="1:11" s="63" customFormat="1" ht="12.75">
      <c r="A309" s="149"/>
      <c r="E309"/>
      <c r="F309" s="93"/>
      <c r="I309"/>
      <c r="J309"/>
      <c r="K309"/>
    </row>
    <row r="310" spans="1:11" s="63" customFormat="1" ht="12.75">
      <c r="A310" s="149"/>
      <c r="E310"/>
      <c r="F310" s="93"/>
      <c r="I310"/>
      <c r="J310"/>
      <c r="K310"/>
    </row>
    <row r="311" spans="1:11" s="63" customFormat="1" ht="12.75">
      <c r="A311" s="149"/>
      <c r="E311"/>
      <c r="F311" s="93"/>
      <c r="I311"/>
      <c r="J311"/>
      <c r="K311"/>
    </row>
    <row r="312" spans="1:11" s="63" customFormat="1" ht="12.75">
      <c r="A312" s="149"/>
      <c r="E312"/>
      <c r="F312" s="93"/>
      <c r="I312"/>
      <c r="J312"/>
      <c r="K312"/>
    </row>
    <row r="313" spans="1:11" s="63" customFormat="1" ht="12.75">
      <c r="A313" s="149"/>
      <c r="E313"/>
      <c r="F313" s="93"/>
      <c r="I313"/>
      <c r="J313"/>
      <c r="K313"/>
    </row>
    <row r="314" spans="1:11" s="63" customFormat="1" ht="12.75">
      <c r="A314" s="149"/>
      <c r="E314"/>
      <c r="F314" s="93"/>
      <c r="I314"/>
      <c r="J314"/>
      <c r="K314"/>
    </row>
    <row r="315" spans="1:11" s="63" customFormat="1" ht="12.75">
      <c r="A315" s="149"/>
      <c r="E315"/>
      <c r="F315" s="93"/>
      <c r="I315"/>
      <c r="J315"/>
      <c r="K315"/>
    </row>
    <row r="316" spans="1:11" s="63" customFormat="1" ht="12.75">
      <c r="A316" s="149"/>
      <c r="E316"/>
      <c r="F316" s="93"/>
      <c r="I316"/>
      <c r="J316"/>
      <c r="K316"/>
    </row>
    <row r="317" spans="1:11" s="63" customFormat="1" ht="12.75">
      <c r="A317" s="149"/>
      <c r="E317"/>
      <c r="F317" s="93"/>
      <c r="I317"/>
      <c r="J317"/>
      <c r="K317"/>
    </row>
    <row r="318" spans="1:11" s="63" customFormat="1" ht="12.75">
      <c r="A318" s="149"/>
      <c r="E318"/>
      <c r="F318" s="93"/>
      <c r="I318"/>
      <c r="J318"/>
      <c r="K318"/>
    </row>
    <row r="319" spans="1:11" s="63" customFormat="1" ht="12.75">
      <c r="A319" s="149"/>
      <c r="E319"/>
      <c r="F319" s="93"/>
      <c r="I319"/>
      <c r="J319"/>
      <c r="K319"/>
    </row>
    <row r="320" spans="1:11" s="63" customFormat="1" ht="12.75">
      <c r="A320" s="149"/>
      <c r="E320"/>
      <c r="F320" s="93"/>
      <c r="I320"/>
      <c r="J320"/>
      <c r="K320"/>
    </row>
    <row r="321" spans="1:11" s="63" customFormat="1" ht="12.75">
      <c r="A321" s="149"/>
      <c r="E321"/>
      <c r="F321" s="93"/>
      <c r="I321"/>
      <c r="J321"/>
      <c r="K321"/>
    </row>
    <row r="322" spans="1:11" s="63" customFormat="1" ht="12.75">
      <c r="A322" s="149"/>
      <c r="E322"/>
      <c r="F322" s="93"/>
      <c r="I322"/>
      <c r="J322"/>
      <c r="K322"/>
    </row>
    <row r="323" spans="1:11" s="63" customFormat="1" ht="12.75">
      <c r="A323" s="149"/>
      <c r="E323"/>
      <c r="F323" s="93"/>
      <c r="I323"/>
      <c r="J323"/>
      <c r="K323"/>
    </row>
    <row r="324" spans="1:11" s="63" customFormat="1" ht="12.75">
      <c r="A324" s="149"/>
      <c r="E324"/>
      <c r="F324" s="93"/>
      <c r="I324"/>
      <c r="J324"/>
      <c r="K324"/>
    </row>
    <row r="325" spans="1:11" s="63" customFormat="1" ht="12.75">
      <c r="A325" s="149"/>
      <c r="E325"/>
      <c r="F325" s="93"/>
      <c r="I325"/>
      <c r="J325"/>
      <c r="K325"/>
    </row>
    <row r="326" spans="1:11" s="63" customFormat="1" ht="12.75">
      <c r="A326" s="149"/>
      <c r="E326"/>
      <c r="F326" s="93"/>
      <c r="I326"/>
      <c r="J326"/>
      <c r="K326"/>
    </row>
    <row r="327" spans="1:11" s="63" customFormat="1" ht="12.75">
      <c r="A327" s="149"/>
      <c r="E327"/>
      <c r="F327" s="93"/>
      <c r="I327"/>
      <c r="J327"/>
      <c r="K327"/>
    </row>
    <row r="328" spans="1:11" s="63" customFormat="1" ht="12.75">
      <c r="A328" s="149"/>
      <c r="E328"/>
      <c r="F328" s="93"/>
      <c r="I328"/>
      <c r="J328"/>
      <c r="K328"/>
    </row>
    <row r="329" spans="1:11" s="63" customFormat="1" ht="12.75">
      <c r="A329" s="149"/>
      <c r="E329"/>
      <c r="F329" s="93"/>
      <c r="I329"/>
      <c r="J329"/>
      <c r="K329"/>
    </row>
    <row r="330" spans="1:11" s="63" customFormat="1" ht="12.75">
      <c r="A330" s="149"/>
      <c r="E330"/>
      <c r="F330" s="93"/>
      <c r="I330"/>
      <c r="J330"/>
      <c r="K330"/>
    </row>
  </sheetData>
  <sheetProtection/>
  <mergeCells count="4">
    <mergeCell ref="D3:D4"/>
    <mergeCell ref="F157:F158"/>
    <mergeCell ref="B55:C55"/>
    <mergeCell ref="B53:C53"/>
  </mergeCells>
  <conditionalFormatting sqref="D34 H34">
    <cfRule type="cellIs" priority="2" dxfId="4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="130" zoomScaleNormal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" sqref="H9"/>
    </sheetView>
  </sheetViews>
  <sheetFormatPr defaultColWidth="9.140625" defaultRowHeight="12.75"/>
  <cols>
    <col min="1" max="1" width="44.140625" style="263" customWidth="1"/>
    <col min="2" max="2" width="10.8515625" style="263" customWidth="1"/>
    <col min="3" max="3" width="9.421875" style="263" customWidth="1"/>
    <col min="4" max="4" width="11.140625" style="263" customWidth="1"/>
    <col min="5" max="5" width="10.28125" style="263" customWidth="1"/>
    <col min="6" max="6" width="10.7109375" style="263" customWidth="1"/>
    <col min="7" max="7" width="10.140625" style="263" customWidth="1"/>
    <col min="8" max="8" width="18.7109375" style="263" customWidth="1"/>
    <col min="9" max="9" width="34.140625" style="263" customWidth="1"/>
    <col min="10" max="10" width="20.00390625" style="263" customWidth="1"/>
    <col min="11" max="12" width="9.140625" style="263" customWidth="1"/>
    <col min="13" max="13" width="43.8515625" style="263" customWidth="1"/>
    <col min="14" max="15" width="9.140625" style="263" customWidth="1"/>
    <col min="16" max="16" width="51.00390625" style="263" customWidth="1"/>
    <col min="17" max="16384" width="9.140625" style="263" customWidth="1"/>
  </cols>
  <sheetData>
    <row r="1" spans="1:10" ht="50.25" customHeight="1" thickBot="1">
      <c r="A1" s="37" t="s">
        <v>391</v>
      </c>
      <c r="B1" s="252" t="s">
        <v>393</v>
      </c>
      <c r="C1" s="252" t="s">
        <v>394</v>
      </c>
      <c r="D1" s="252" t="s">
        <v>324</v>
      </c>
      <c r="E1" s="252" t="s">
        <v>337</v>
      </c>
      <c r="F1" s="326" t="s">
        <v>375</v>
      </c>
      <c r="G1" s="326" t="s">
        <v>395</v>
      </c>
      <c r="H1" s="327" t="s">
        <v>275</v>
      </c>
      <c r="I1" s="246" t="s">
        <v>318</v>
      </c>
      <c r="J1" s="249"/>
    </row>
    <row r="2" spans="1:9" ht="15" customHeight="1">
      <c r="A2" s="264" t="s">
        <v>0</v>
      </c>
      <c r="B2" s="22">
        <f aca="true" t="shared" si="0" ref="B2:G2">B3+B7+B8+B12</f>
        <v>3326101.2199999997</v>
      </c>
      <c r="C2" s="22">
        <f t="shared" si="0"/>
        <v>3356170</v>
      </c>
      <c r="D2" s="22">
        <f>D3+D7+D8+D12</f>
        <v>3452800</v>
      </c>
      <c r="E2" s="22">
        <f>E3+E7+E8+E12</f>
        <v>3543800</v>
      </c>
      <c r="F2" s="23">
        <f>F3+F7+F8+F12</f>
        <v>3610700</v>
      </c>
      <c r="G2" s="23">
        <f t="shared" si="0"/>
        <v>3611000</v>
      </c>
      <c r="H2" s="242"/>
      <c r="I2" s="265" t="s">
        <v>310</v>
      </c>
    </row>
    <row r="3" spans="1:7" ht="12.75">
      <c r="A3" s="266" t="s">
        <v>13</v>
      </c>
      <c r="B3" s="18">
        <f aca="true" t="shared" si="1" ref="B3:G3">SUM(B4:B6)</f>
        <v>1483932.44</v>
      </c>
      <c r="C3" s="18">
        <f t="shared" si="1"/>
        <v>1554900</v>
      </c>
      <c r="D3" s="18">
        <f>SUM(D4:D6)</f>
        <v>1603800</v>
      </c>
      <c r="E3" s="18">
        <f>SUM(E4:E6)</f>
        <v>1668800</v>
      </c>
      <c r="F3" s="20">
        <f>SUM(F4:F6)</f>
        <v>1721700</v>
      </c>
      <c r="G3" s="20">
        <f t="shared" si="1"/>
        <v>1722000</v>
      </c>
    </row>
    <row r="4" spans="1:12" ht="12.75">
      <c r="A4" s="368" t="s">
        <v>28</v>
      </c>
      <c r="B4" s="64">
        <f>Eelarvearuanne!H8</f>
        <v>1466350</v>
      </c>
      <c r="C4" s="64">
        <f>Eelarvearuanne!D8</f>
        <v>1535000</v>
      </c>
      <c r="D4" s="370">
        <v>1585000</v>
      </c>
      <c r="E4" s="370">
        <v>1650000</v>
      </c>
      <c r="F4" s="371">
        <v>1702900</v>
      </c>
      <c r="G4" s="371">
        <v>1703200</v>
      </c>
      <c r="H4" s="369">
        <f>C4/B4-1</f>
        <v>0.046816926381832547</v>
      </c>
      <c r="I4" s="369">
        <f>D4/C4-1</f>
        <v>0.032573289902280145</v>
      </c>
      <c r="J4" s="369">
        <f>E4/D4-1</f>
        <v>0.04100946372239744</v>
      </c>
      <c r="K4" s="369">
        <f>F4/E4-1</f>
        <v>0.03206060606060612</v>
      </c>
      <c r="L4" s="369">
        <f>G4/F4-1</f>
        <v>0.00017617006283399128</v>
      </c>
    </row>
    <row r="5" spans="1:7" ht="12.75">
      <c r="A5" s="266" t="s">
        <v>29</v>
      </c>
      <c r="B5" s="64">
        <f>Eelarvearuanne!H9</f>
        <v>17000</v>
      </c>
      <c r="C5" s="64">
        <f>Eelarvearuanne!D9</f>
        <v>18000</v>
      </c>
      <c r="D5" s="267">
        <v>18000</v>
      </c>
      <c r="E5" s="267">
        <v>18000</v>
      </c>
      <c r="F5" s="268">
        <v>18000</v>
      </c>
      <c r="G5" s="268">
        <v>18000</v>
      </c>
    </row>
    <row r="6" spans="1:7" ht="12.75">
      <c r="A6" s="266" t="s">
        <v>30</v>
      </c>
      <c r="B6" s="64">
        <f>Eelarvearuanne!H7-Eelarvearuanne!H8-Eelarvearuanne!H9</f>
        <v>582.4399999999441</v>
      </c>
      <c r="C6" s="64">
        <f>Eelarvearuanne!D7-Eelarvearuanne!D8-Eelarvearuanne!D9</f>
        <v>1900</v>
      </c>
      <c r="D6" s="267">
        <v>800</v>
      </c>
      <c r="E6" s="267">
        <v>800</v>
      </c>
      <c r="F6" s="268">
        <v>800</v>
      </c>
      <c r="G6" s="268">
        <v>800</v>
      </c>
    </row>
    <row r="7" spans="1:7" ht="12.75">
      <c r="A7" s="266" t="s">
        <v>14</v>
      </c>
      <c r="B7" s="65">
        <f>Eelarvearuanne!H14</f>
        <v>551457.69</v>
      </c>
      <c r="C7" s="65">
        <f>Eelarvearuanne!D14</f>
        <v>534370</v>
      </c>
      <c r="D7" s="267">
        <v>535000</v>
      </c>
      <c r="E7" s="267">
        <v>545000</v>
      </c>
      <c r="F7" s="268">
        <v>545000</v>
      </c>
      <c r="G7" s="268">
        <v>545000</v>
      </c>
    </row>
    <row r="8" spans="1:7" ht="12.75">
      <c r="A8" s="266" t="s">
        <v>173</v>
      </c>
      <c r="B8" s="21">
        <f aca="true" t="shared" si="2" ref="B8:G8">SUM(B9:B11)</f>
        <v>1286814.98</v>
      </c>
      <c r="C8" s="18">
        <f t="shared" si="2"/>
        <v>1259900</v>
      </c>
      <c r="D8" s="18">
        <f>SUM(D9:D11)</f>
        <v>1307000</v>
      </c>
      <c r="E8" s="18">
        <f>SUM(E9:E11)</f>
        <v>1323000</v>
      </c>
      <c r="F8" s="20">
        <f>SUM(F9:F11)</f>
        <v>1336000</v>
      </c>
      <c r="G8" s="20">
        <f t="shared" si="2"/>
        <v>1336000</v>
      </c>
    </row>
    <row r="9" spans="1:12" ht="12.75">
      <c r="A9" s="368" t="s">
        <v>382</v>
      </c>
      <c r="B9" s="372">
        <f>Eelarvearuanne!H16</f>
        <v>356811</v>
      </c>
      <c r="C9" s="372">
        <f>Eelarvearuanne!D16</f>
        <v>400933</v>
      </c>
      <c r="D9" s="370">
        <v>400000</v>
      </c>
      <c r="E9" s="370">
        <v>415000</v>
      </c>
      <c r="F9" s="371">
        <v>428000</v>
      </c>
      <c r="G9" s="371">
        <v>428000</v>
      </c>
      <c r="H9" s="369">
        <f>C9/B9-1</f>
        <v>0.12365650162130648</v>
      </c>
      <c r="I9" s="369">
        <f>D9/C9-1</f>
        <v>-0.0023270721043167075</v>
      </c>
      <c r="J9" s="369">
        <f>E9/D9-1</f>
        <v>0.03750000000000009</v>
      </c>
      <c r="K9" s="369">
        <f>F9/E9-1</f>
        <v>0.031325301204819356</v>
      </c>
      <c r="L9" s="369">
        <f>G9/F9-1</f>
        <v>0</v>
      </c>
    </row>
    <row r="10" spans="1:8" ht="12.75">
      <c r="A10" s="266" t="s">
        <v>383</v>
      </c>
      <c r="B10" s="65">
        <f>Eelarvearuanne!H17</f>
        <v>828595</v>
      </c>
      <c r="C10" s="65">
        <f>Eelarvearuanne!D17</f>
        <v>845020</v>
      </c>
      <c r="D10" s="267">
        <v>845000</v>
      </c>
      <c r="E10" s="267">
        <v>845000</v>
      </c>
      <c r="F10" s="268">
        <v>845000</v>
      </c>
      <c r="G10" s="268">
        <v>845000</v>
      </c>
      <c r="H10" s="127" t="s">
        <v>368</v>
      </c>
    </row>
    <row r="11" spans="1:8" ht="12.75">
      <c r="A11" s="266" t="s">
        <v>174</v>
      </c>
      <c r="B11" s="65">
        <f>Eelarvearuanne!H18</f>
        <v>101408.98</v>
      </c>
      <c r="C11" s="65">
        <f>Eelarvearuanne!D18</f>
        <v>13947</v>
      </c>
      <c r="D11" s="267">
        <v>62000</v>
      </c>
      <c r="E11" s="267">
        <v>63000</v>
      </c>
      <c r="F11" s="268">
        <v>63000</v>
      </c>
      <c r="G11" s="268">
        <v>63000</v>
      </c>
      <c r="H11" s="269" t="s">
        <v>381</v>
      </c>
    </row>
    <row r="12" spans="1:8" ht="12.75">
      <c r="A12" s="266" t="s">
        <v>15</v>
      </c>
      <c r="B12" s="65">
        <f>Eelarvearuanne!H19</f>
        <v>3896.11</v>
      </c>
      <c r="C12" s="65">
        <f>Eelarvearuanne!D19</f>
        <v>7000</v>
      </c>
      <c r="D12" s="267">
        <v>7000</v>
      </c>
      <c r="E12" s="267">
        <v>7000</v>
      </c>
      <c r="F12" s="268">
        <v>8000</v>
      </c>
      <c r="G12" s="268">
        <v>8000</v>
      </c>
      <c r="H12" s="263" t="s">
        <v>286</v>
      </c>
    </row>
    <row r="13" spans="1:7" ht="12.75">
      <c r="A13" s="270" t="s">
        <v>1</v>
      </c>
      <c r="B13" s="142">
        <f>SUM(B14:B15)</f>
        <v>3104090.8</v>
      </c>
      <c r="C13" s="142">
        <f>C14+C15</f>
        <v>3240224.98</v>
      </c>
      <c r="D13" s="19">
        <f>SUM(D14:D15)</f>
        <v>3238800</v>
      </c>
      <c r="E13" s="19">
        <f>SUM(E14:E15)</f>
        <v>3267200</v>
      </c>
      <c r="F13" s="24">
        <f>SUM(F14:F15)</f>
        <v>3279000</v>
      </c>
      <c r="G13" s="24">
        <f>SUM(G14:G15)</f>
        <v>3289000</v>
      </c>
    </row>
    <row r="14" spans="1:7" ht="12.75">
      <c r="A14" s="266" t="s">
        <v>175</v>
      </c>
      <c r="B14" s="65">
        <f>-Eelarvearuanne!H25</f>
        <v>214235.61000000002</v>
      </c>
      <c r="C14" s="65">
        <f>-Eelarvearuanne!D25</f>
        <v>245363.36</v>
      </c>
      <c r="D14" s="267">
        <v>239000</v>
      </c>
      <c r="E14" s="267">
        <v>239000</v>
      </c>
      <c r="F14" s="268">
        <v>239000</v>
      </c>
      <c r="G14" s="268">
        <v>239000</v>
      </c>
    </row>
    <row r="15" spans="1:7" ht="12.75">
      <c r="A15" s="266" t="s">
        <v>16</v>
      </c>
      <c r="B15" s="21">
        <f aca="true" t="shared" si="3" ref="B15:G15">B16+B17+B19</f>
        <v>2889855.19</v>
      </c>
      <c r="C15" s="21">
        <f t="shared" si="3"/>
        <v>2994861.62</v>
      </c>
      <c r="D15" s="339">
        <f>D16+D17+D19</f>
        <v>2999800</v>
      </c>
      <c r="E15" s="339">
        <f>E16+E17+E19</f>
        <v>3028200</v>
      </c>
      <c r="F15" s="340">
        <f>F16+F17+F19</f>
        <v>3040000</v>
      </c>
      <c r="G15" s="340">
        <f t="shared" si="3"/>
        <v>3050000</v>
      </c>
    </row>
    <row r="16" spans="1:12" ht="12.75">
      <c r="A16" s="368" t="s">
        <v>9</v>
      </c>
      <c r="B16" s="65">
        <f>-Eelarvearuanne!H31</f>
        <v>1997974.3</v>
      </c>
      <c r="C16" s="65">
        <f>-Eelarvearuanne!D31</f>
        <v>2114983.29</v>
      </c>
      <c r="D16" s="357">
        <v>2121800</v>
      </c>
      <c r="E16" s="357">
        <v>2148200</v>
      </c>
      <c r="F16" s="358">
        <v>2150000</v>
      </c>
      <c r="G16" s="358">
        <v>2150000</v>
      </c>
      <c r="H16" s="369">
        <f>C16/B16-1</f>
        <v>0.05856381135633226</v>
      </c>
      <c r="I16" s="369">
        <f aca="true" t="shared" si="4" ref="H16:L17">D16/C16-1</f>
        <v>0.0032230561972903526</v>
      </c>
      <c r="J16" s="369">
        <f t="shared" si="4"/>
        <v>0.012442266000565638</v>
      </c>
      <c r="K16" s="369">
        <f t="shared" si="4"/>
        <v>0.0008379108090494913</v>
      </c>
      <c r="L16" s="369">
        <f t="shared" si="4"/>
        <v>0</v>
      </c>
    </row>
    <row r="17" spans="1:12" ht="12.75">
      <c r="A17" s="368" t="s">
        <v>10</v>
      </c>
      <c r="B17" s="65">
        <f>-Eelarvearuanne!H32</f>
        <v>891773.13</v>
      </c>
      <c r="C17" s="65">
        <f>-Eelarvearuanne!D32</f>
        <v>869369.28</v>
      </c>
      <c r="D17" s="357">
        <v>868000</v>
      </c>
      <c r="E17" s="357">
        <v>870000</v>
      </c>
      <c r="F17" s="358">
        <v>880000</v>
      </c>
      <c r="G17" s="358">
        <v>890000</v>
      </c>
      <c r="H17" s="369">
        <f t="shared" si="4"/>
        <v>-0.025122813467142624</v>
      </c>
      <c r="I17" s="369">
        <f t="shared" si="4"/>
        <v>-0.0015750268976608695</v>
      </c>
      <c r="J17" s="369">
        <f t="shared" si="4"/>
        <v>0.0023041474654377225</v>
      </c>
      <c r="K17" s="369">
        <f t="shared" si="4"/>
        <v>0.011494252873563315</v>
      </c>
      <c r="L17" s="369">
        <f t="shared" si="4"/>
        <v>0.011363636363636465</v>
      </c>
    </row>
    <row r="18" spans="1:13" ht="12.75">
      <c r="A18" s="273" t="s">
        <v>315</v>
      </c>
      <c r="B18" s="241"/>
      <c r="C18" s="241"/>
      <c r="D18" s="274"/>
      <c r="E18" s="274"/>
      <c r="F18" s="275"/>
      <c r="G18" s="275"/>
      <c r="H18" s="335" t="s">
        <v>363</v>
      </c>
      <c r="I18" s="276"/>
      <c r="J18" s="334"/>
      <c r="K18" s="312"/>
      <c r="L18" s="312"/>
      <c r="M18" s="312"/>
    </row>
    <row r="19" spans="1:8" ht="12.75">
      <c r="A19" s="266" t="s">
        <v>11</v>
      </c>
      <c r="B19" s="65">
        <f>-Eelarvearuanne!H33</f>
        <v>107.76</v>
      </c>
      <c r="C19" s="65">
        <f>-Eelarvearuanne!D33</f>
        <v>10509.05</v>
      </c>
      <c r="D19" s="267">
        <v>10000</v>
      </c>
      <c r="E19" s="267">
        <v>10000</v>
      </c>
      <c r="F19" s="268">
        <v>10000</v>
      </c>
      <c r="G19" s="268">
        <v>10000</v>
      </c>
      <c r="H19" s="336" t="s">
        <v>364</v>
      </c>
    </row>
    <row r="20" spans="1:10" ht="12.75">
      <c r="A20" s="277" t="s">
        <v>176</v>
      </c>
      <c r="B20" s="25">
        <f aca="true" t="shared" si="5" ref="B20:G20">B2-B13</f>
        <v>222010.41999999993</v>
      </c>
      <c r="C20" s="16">
        <f t="shared" si="5"/>
        <v>115945.02000000002</v>
      </c>
      <c r="D20" s="16">
        <f>D2-D13</f>
        <v>214000</v>
      </c>
      <c r="E20" s="16">
        <f>E2-E13</f>
        <v>276600</v>
      </c>
      <c r="F20" s="17">
        <f>F2-F13</f>
        <v>331700</v>
      </c>
      <c r="G20" s="17">
        <f t="shared" si="5"/>
        <v>322000</v>
      </c>
      <c r="H20" s="278" t="s">
        <v>326</v>
      </c>
      <c r="I20" s="279"/>
      <c r="J20" s="279"/>
    </row>
    <row r="21" spans="1:10" ht="12.75">
      <c r="A21" s="2" t="s">
        <v>2</v>
      </c>
      <c r="B21" s="25">
        <f aca="true" t="shared" si="6" ref="B21:G21">B22+B23+B25+B26+B27+B28+B29+B30+B31+B32</f>
        <v>-246521.66</v>
      </c>
      <c r="C21" s="25">
        <f t="shared" si="6"/>
        <v>-692382.9500000001</v>
      </c>
      <c r="D21" s="25">
        <f t="shared" si="6"/>
        <v>-591801</v>
      </c>
      <c r="E21" s="25">
        <f t="shared" si="6"/>
        <v>-362299</v>
      </c>
      <c r="F21" s="17">
        <f t="shared" si="6"/>
        <v>-132700</v>
      </c>
      <c r="G21" s="17">
        <f t="shared" si="6"/>
        <v>-123000</v>
      </c>
      <c r="J21" s="242"/>
    </row>
    <row r="22" spans="1:10" ht="12.75" customHeight="1">
      <c r="A22" s="3" t="s">
        <v>18</v>
      </c>
      <c r="B22" s="65">
        <f>Eelarvearuanne!H36</f>
        <v>157.5</v>
      </c>
      <c r="C22" s="65">
        <f>Eelarvearuanne!D36</f>
        <v>3500</v>
      </c>
      <c r="D22" s="267"/>
      <c r="E22" s="267"/>
      <c r="F22" s="268"/>
      <c r="G22" s="268"/>
      <c r="H22" s="280"/>
      <c r="I22" s="280"/>
      <c r="J22" s="242"/>
    </row>
    <row r="23" spans="1:13" ht="12.75" customHeight="1">
      <c r="A23" s="3" t="s">
        <v>19</v>
      </c>
      <c r="B23" s="65">
        <f>Eelarvearuanne!H37</f>
        <v>-282715.09</v>
      </c>
      <c r="C23" s="338">
        <f>Eelarvearuanne!D37</f>
        <v>-786303.55</v>
      </c>
      <c r="D23" s="281">
        <f>-D99</f>
        <v>-1810000</v>
      </c>
      <c r="E23" s="281">
        <f>-E99</f>
        <v>-2155000</v>
      </c>
      <c r="F23" s="328">
        <f>-F99</f>
        <v>-652000</v>
      </c>
      <c r="G23" s="328">
        <f>-G99</f>
        <v>-345500</v>
      </c>
      <c r="H23" s="282" t="s">
        <v>316</v>
      </c>
      <c r="I23" s="283"/>
      <c r="J23" s="325" t="s">
        <v>362</v>
      </c>
      <c r="K23" s="312"/>
      <c r="L23" s="312"/>
      <c r="M23" s="312"/>
    </row>
    <row r="24" spans="1:10" ht="12.75">
      <c r="A24" s="4" t="s">
        <v>17</v>
      </c>
      <c r="B24" s="65"/>
      <c r="C24" s="284">
        <f>-C101</f>
        <v>-604222</v>
      </c>
      <c r="D24" s="284">
        <f>-D101</f>
        <v>-570000</v>
      </c>
      <c r="E24" s="284">
        <f>-E101</f>
        <v>-340000</v>
      </c>
      <c r="F24" s="329">
        <f>-F101</f>
        <v>-112000</v>
      </c>
      <c r="G24" s="329">
        <f>-G101</f>
        <v>-105500</v>
      </c>
      <c r="H24" s="282" t="s">
        <v>316</v>
      </c>
      <c r="I24" s="283"/>
      <c r="J24" s="242"/>
    </row>
    <row r="25" spans="1:13" ht="12.75" customHeight="1">
      <c r="A25" s="5" t="s">
        <v>20</v>
      </c>
      <c r="B25" s="65">
        <f>Eelarvearuanne!H38</f>
        <v>65224.65</v>
      </c>
      <c r="C25" s="285">
        <f>Eelarvearuanne!D38</f>
        <v>103195.6</v>
      </c>
      <c r="D25" s="284">
        <f>D100</f>
        <v>1240000</v>
      </c>
      <c r="E25" s="284">
        <f>E100</f>
        <v>1815000</v>
      </c>
      <c r="F25" s="329">
        <f>F100</f>
        <v>540000</v>
      </c>
      <c r="G25" s="329">
        <f>G100</f>
        <v>240000</v>
      </c>
      <c r="H25" s="282" t="s">
        <v>316</v>
      </c>
      <c r="I25" s="283"/>
      <c r="J25" s="325" t="s">
        <v>380</v>
      </c>
      <c r="K25" s="312"/>
      <c r="L25" s="312"/>
      <c r="M25" s="312"/>
    </row>
    <row r="26" spans="1:8" ht="12.75" customHeight="1">
      <c r="A26" s="3" t="s">
        <v>21</v>
      </c>
      <c r="B26" s="65">
        <f>Eelarvearuanne!H39</f>
        <v>-18685.39</v>
      </c>
      <c r="C26" s="65">
        <f>Eelarvearuanne!D39</f>
        <v>0</v>
      </c>
      <c r="D26" s="267"/>
      <c r="E26" s="267"/>
      <c r="F26" s="268"/>
      <c r="G26" s="268"/>
      <c r="H26" s="269" t="s">
        <v>361</v>
      </c>
    </row>
    <row r="27" spans="1:10" ht="12.75" customHeight="1">
      <c r="A27" s="7" t="s">
        <v>22</v>
      </c>
      <c r="B27" s="65">
        <f>Eelarvearuanne!H40+Eelarvearuanne!H42</f>
        <v>0</v>
      </c>
      <c r="C27" s="65">
        <f>Eelarvearuanne!D40+Eelarvearuanne!D42</f>
        <v>0</v>
      </c>
      <c r="D27" s="267"/>
      <c r="E27" s="267"/>
      <c r="F27" s="268"/>
      <c r="G27" s="268"/>
      <c r="H27" s="286"/>
      <c r="I27" s="286"/>
      <c r="J27" s="242"/>
    </row>
    <row r="28" spans="1:8" ht="12.75" customHeight="1">
      <c r="A28" s="7" t="s">
        <v>23</v>
      </c>
      <c r="B28" s="65">
        <f>Eelarvearuanne!H41+Eelarvearuanne!H43</f>
        <v>0</v>
      </c>
      <c r="C28" s="65">
        <f>Eelarvearuanne!D41+Eelarvearuanne!D43</f>
        <v>0</v>
      </c>
      <c r="D28" s="267"/>
      <c r="E28" s="267"/>
      <c r="F28" s="268"/>
      <c r="G28" s="268"/>
      <c r="H28" s="286"/>
    </row>
    <row r="29" spans="1:7" ht="12.75" customHeight="1">
      <c r="A29" s="6" t="s">
        <v>24</v>
      </c>
      <c r="B29" s="66">
        <f>Eelarvearuanne!H44</f>
        <v>0</v>
      </c>
      <c r="C29" s="66">
        <f>Eelarvearuanne!D44</f>
        <v>0</v>
      </c>
      <c r="D29" s="267"/>
      <c r="E29" s="267"/>
      <c r="F29" s="268"/>
      <c r="G29" s="268"/>
    </row>
    <row r="30" spans="1:8" ht="12.75" customHeight="1">
      <c r="A30" s="7" t="s">
        <v>25</v>
      </c>
      <c r="B30" s="65">
        <f>Eelarvearuanne!H45</f>
        <v>0</v>
      </c>
      <c r="C30" s="65">
        <f>Eelarvearuanne!D45</f>
        <v>0</v>
      </c>
      <c r="D30" s="267"/>
      <c r="E30" s="267"/>
      <c r="F30" s="268"/>
      <c r="G30" s="268"/>
      <c r="H30" s="263" t="s">
        <v>298</v>
      </c>
    </row>
    <row r="31" spans="1:7" ht="12.75" customHeight="1">
      <c r="A31" s="38" t="s">
        <v>165</v>
      </c>
      <c r="B31" s="67">
        <f>Eelarvearuanne!H46</f>
        <v>0</v>
      </c>
      <c r="C31" s="67">
        <f>Eelarvearuanne!D46</f>
        <v>0</v>
      </c>
      <c r="D31" s="267"/>
      <c r="E31" s="267"/>
      <c r="F31" s="268"/>
      <c r="G31" s="268"/>
    </row>
    <row r="32" spans="1:7" ht="12.75">
      <c r="A32" s="38" t="s">
        <v>166</v>
      </c>
      <c r="B32" s="65">
        <f>Eelarvearuanne!H47</f>
        <v>-10503.33</v>
      </c>
      <c r="C32" s="65">
        <f>Eelarvearuanne!D47</f>
        <v>-12775</v>
      </c>
      <c r="D32" s="360">
        <v>-21801</v>
      </c>
      <c r="E32" s="360">
        <v>-22299</v>
      </c>
      <c r="F32" s="361">
        <v>-20700</v>
      </c>
      <c r="G32" s="361">
        <v>-17500</v>
      </c>
    </row>
    <row r="33" spans="1:8" ht="12.75">
      <c r="A33" s="8" t="s">
        <v>3</v>
      </c>
      <c r="B33" s="25">
        <f aca="true" t="shared" si="7" ref="B33:G33">B20+B21</f>
        <v>-24511.240000000078</v>
      </c>
      <c r="C33" s="16">
        <f t="shared" si="7"/>
        <v>-576437.93</v>
      </c>
      <c r="D33" s="16">
        <f>D20+D21</f>
        <v>-377801</v>
      </c>
      <c r="E33" s="16">
        <f>E20+E21</f>
        <v>-85699</v>
      </c>
      <c r="F33" s="17">
        <f>F20+F21</f>
        <v>199000</v>
      </c>
      <c r="G33" s="17">
        <f t="shared" si="7"/>
        <v>199000</v>
      </c>
      <c r="H33" s="287"/>
    </row>
    <row r="34" spans="1:7" ht="12.75">
      <c r="A34" s="8" t="s">
        <v>4</v>
      </c>
      <c r="B34" s="25">
        <f aca="true" t="shared" si="8" ref="B34:G34">B35+B36</f>
        <v>-74492.67</v>
      </c>
      <c r="C34" s="16">
        <f t="shared" si="8"/>
        <v>430572</v>
      </c>
      <c r="D34" s="16">
        <f>D35+D36</f>
        <v>376000</v>
      </c>
      <c r="E34" s="16">
        <f>E35+E36</f>
        <v>84000</v>
      </c>
      <c r="F34" s="17">
        <f>F35+F36</f>
        <v>-199000</v>
      </c>
      <c r="G34" s="17">
        <f t="shared" si="8"/>
        <v>-199000</v>
      </c>
    </row>
    <row r="35" spans="1:11" ht="12.75">
      <c r="A35" s="288" t="s">
        <v>26</v>
      </c>
      <c r="B35" s="65">
        <f>Eelarvearuanne!H50</f>
        <v>0</v>
      </c>
      <c r="C35" s="65">
        <f>Eelarvearuanne!D50</f>
        <v>540000</v>
      </c>
      <c r="D35" s="366">
        <v>530000</v>
      </c>
      <c r="E35" s="366">
        <v>275000</v>
      </c>
      <c r="F35" s="367"/>
      <c r="G35" s="367"/>
      <c r="H35" s="303" t="s">
        <v>365</v>
      </c>
      <c r="I35" s="303"/>
      <c r="J35" s="303"/>
      <c r="K35" s="312"/>
    </row>
    <row r="36" spans="1:7" ht="12.75">
      <c r="A36" s="288" t="s">
        <v>27</v>
      </c>
      <c r="B36" s="65">
        <f>Eelarvearuanne!H51</f>
        <v>-74492.67</v>
      </c>
      <c r="C36" s="65">
        <f>Eelarvearuanne!D51</f>
        <v>-109428</v>
      </c>
      <c r="D36" s="360">
        <v>-154000</v>
      </c>
      <c r="E36" s="360">
        <v>-191000</v>
      </c>
      <c r="F36" s="361">
        <v>-199000</v>
      </c>
      <c r="G36" s="361">
        <v>-199000</v>
      </c>
    </row>
    <row r="37" spans="1:8" ht="25.5">
      <c r="A37" s="9" t="s">
        <v>31</v>
      </c>
      <c r="B37" s="65">
        <f>Eelarvearuanne!H52</f>
        <v>-99003.91</v>
      </c>
      <c r="C37" s="135">
        <f>Eelarvearuanne!D52</f>
        <v>-145865.93</v>
      </c>
      <c r="D37" s="320">
        <v>-1801</v>
      </c>
      <c r="E37" s="321">
        <v>-1699</v>
      </c>
      <c r="F37" s="330"/>
      <c r="G37" s="330"/>
      <c r="H37" s="287" t="s">
        <v>357</v>
      </c>
    </row>
    <row r="38" spans="1:8" ht="38.25">
      <c r="A38" s="9" t="s">
        <v>185</v>
      </c>
      <c r="B38" s="65">
        <f>Eelarvearuanne!H53</f>
        <v>0</v>
      </c>
      <c r="C38" s="65">
        <f>Eelarvearuanne!D53</f>
        <v>0</v>
      </c>
      <c r="D38" s="267"/>
      <c r="E38" s="267"/>
      <c r="F38" s="268"/>
      <c r="G38" s="268"/>
      <c r="H38" s="289"/>
    </row>
    <row r="39" spans="1:7" ht="12.75">
      <c r="A39" s="290"/>
      <c r="B39" s="291"/>
      <c r="C39" s="292"/>
      <c r="D39" s="293"/>
      <c r="E39" s="293"/>
      <c r="F39" s="294"/>
      <c r="G39" s="294"/>
    </row>
    <row r="40" spans="1:8" ht="13.5" customHeight="1">
      <c r="A40" s="134" t="s">
        <v>7</v>
      </c>
      <c r="B40" s="112">
        <f>Eelarvearuanne!H162</f>
        <v>151365.93</v>
      </c>
      <c r="C40" s="295">
        <f>B40+C37</f>
        <v>5500</v>
      </c>
      <c r="D40" s="316">
        <f>C40+D37</f>
        <v>3699</v>
      </c>
      <c r="E40" s="296">
        <f>D40+E37</f>
        <v>2000</v>
      </c>
      <c r="F40" s="297">
        <f>E40+F37</f>
        <v>2000</v>
      </c>
      <c r="G40" s="297">
        <f>F40+G37</f>
        <v>2000</v>
      </c>
      <c r="H40" s="287" t="s">
        <v>379</v>
      </c>
    </row>
    <row r="41" spans="1:10" ht="12.75">
      <c r="A41" s="9" t="s">
        <v>12</v>
      </c>
      <c r="B41" s="323">
        <f>Eelarvearuanne!H160+B42</f>
        <v>804654.17</v>
      </c>
      <c r="C41" s="285">
        <f>B41+C34+C42-B42</f>
        <v>1235226.17</v>
      </c>
      <c r="D41" s="285">
        <f>C41+D34+D42-C42</f>
        <v>1611226.17</v>
      </c>
      <c r="E41" s="285">
        <f>D41+E34+E42-D42</f>
        <v>1695226.17</v>
      </c>
      <c r="F41" s="324">
        <f>E41+F34+F42-E42</f>
        <v>1496226.17</v>
      </c>
      <c r="G41" s="324">
        <f>F41+G34+G42-F42</f>
        <v>1297226.17</v>
      </c>
      <c r="H41" s="313"/>
      <c r="I41" s="242"/>
      <c r="J41" s="242"/>
    </row>
    <row r="42" spans="1:16" s="242" customFormat="1" ht="16.5" customHeight="1">
      <c r="A42" s="298" t="s">
        <v>351</v>
      </c>
      <c r="B42" s="332"/>
      <c r="C42" s="332"/>
      <c r="D42" s="332"/>
      <c r="E42" s="332"/>
      <c r="F42" s="337"/>
      <c r="G42" s="337"/>
      <c r="H42" s="333" t="s">
        <v>348</v>
      </c>
      <c r="I42" s="334"/>
      <c r="J42" s="334"/>
      <c r="K42" s="334"/>
      <c r="L42" s="334"/>
      <c r="M42" s="334"/>
      <c r="N42" s="334"/>
      <c r="O42" s="334"/>
      <c r="P42" s="334"/>
    </row>
    <row r="43" spans="1:14" ht="22.5">
      <c r="A43" s="298" t="s">
        <v>336</v>
      </c>
      <c r="B43" s="299">
        <f>Eelarvearuanne!H161</f>
        <v>0</v>
      </c>
      <c r="C43" s="299">
        <f>Eelarvearuanne!D161</f>
        <v>0</v>
      </c>
      <c r="D43" s="271"/>
      <c r="E43" s="271"/>
      <c r="F43" s="300"/>
      <c r="G43" s="300"/>
      <c r="H43" s="269" t="s">
        <v>378</v>
      </c>
      <c r="I43" s="242"/>
      <c r="J43" s="242"/>
      <c r="K43" s="242"/>
      <c r="L43" s="242"/>
      <c r="M43" s="242"/>
      <c r="N43" s="242"/>
    </row>
    <row r="44" spans="1:8" ht="12.75">
      <c r="A44" s="11" t="s">
        <v>287</v>
      </c>
      <c r="B44" s="21">
        <f aca="true" t="shared" si="9" ref="B44:G44">IF(B41-B40&lt;0,0,B41-B40)</f>
        <v>653288.24</v>
      </c>
      <c r="C44" s="21">
        <f t="shared" si="9"/>
        <v>1229726.17</v>
      </c>
      <c r="D44" s="21">
        <f>IF(D41-D40&lt;0,0,D41-D40)</f>
        <v>1607527.17</v>
      </c>
      <c r="E44" s="21">
        <f>IF(E41-E40&lt;0,0,E41-E40)</f>
        <v>1693226.17</v>
      </c>
      <c r="F44" s="20">
        <f>IF(F41-F40&lt;0,0,F41-F40)</f>
        <v>1494226.17</v>
      </c>
      <c r="G44" s="20">
        <f t="shared" si="9"/>
        <v>1295226.17</v>
      </c>
      <c r="H44" s="287"/>
    </row>
    <row r="45" spans="1:7" ht="12.75">
      <c r="A45" s="11" t="s">
        <v>288</v>
      </c>
      <c r="B45" s="136">
        <f aca="true" t="shared" si="10" ref="B45:G45">B44/B2</f>
        <v>0.19641261548859298</v>
      </c>
      <c r="C45" s="137">
        <f t="shared" si="10"/>
        <v>0.36640759258321237</v>
      </c>
      <c r="D45" s="137">
        <f>D44/D2</f>
        <v>0.4655720487720111</v>
      </c>
      <c r="E45" s="137">
        <f>E44/E2</f>
        <v>0.4777995851910378</v>
      </c>
      <c r="F45" s="138">
        <f>F44/F2</f>
        <v>0.41383282189049214</v>
      </c>
      <c r="G45" s="138">
        <f t="shared" si="10"/>
        <v>0.35868905289393516</v>
      </c>
    </row>
    <row r="46" spans="1:8" ht="12.75">
      <c r="A46" s="11" t="s">
        <v>289</v>
      </c>
      <c r="B46" s="21">
        <f aca="true" t="shared" si="11" ref="B46:G46">IF((B20+B18)*6&gt;B2,B2+B43,IF((B20+B18)*6&lt;0.6*B2,0.6*B2+B43,(B20+B18)*6+B43))</f>
        <v>1995660.7319999998</v>
      </c>
      <c r="C46" s="21">
        <f t="shared" si="11"/>
        <v>2013702</v>
      </c>
      <c r="D46" s="21">
        <f>IF((D20+D18)*6&gt;D2,D2+D43,IF((D20+D18)*6&lt;0.6*D2,0.6*D2+D43,(D20+D18)*6+D43))</f>
        <v>2071680</v>
      </c>
      <c r="E46" s="21">
        <f>IF((E20+E18)*6&gt;E2,E2+E43,IF((E20+E18)*6&lt;0.6*E2,0.6*E2+E43,(E20+E18)*6+E43))</f>
        <v>2126280</v>
      </c>
      <c r="F46" s="20">
        <f>IF((F20+F18)*6&gt;F2,F2+F43,IF((F20+F18)*6&lt;0.6*F2,0.6*F2+F43,(F20+F18)*6+F43))</f>
        <v>2166420</v>
      </c>
      <c r="G46" s="20">
        <f t="shared" si="11"/>
        <v>2166600</v>
      </c>
      <c r="H46" s="263" t="s">
        <v>314</v>
      </c>
    </row>
    <row r="47" spans="1:16" ht="12.75">
      <c r="A47" s="11" t="s">
        <v>290</v>
      </c>
      <c r="B47" s="136"/>
      <c r="C47" s="137"/>
      <c r="D47" s="137">
        <f>D46/D2</f>
        <v>0.6</v>
      </c>
      <c r="E47" s="137">
        <f>E46/E2</f>
        <v>0.6</v>
      </c>
      <c r="F47" s="138">
        <f>F46/F2</f>
        <v>0.6</v>
      </c>
      <c r="G47" s="138">
        <f>G46/G2</f>
        <v>0.6</v>
      </c>
      <c r="H47" s="322" t="s">
        <v>356</v>
      </c>
      <c r="I47" s="322"/>
      <c r="J47" s="322"/>
      <c r="K47" s="303"/>
      <c r="L47" s="303"/>
      <c r="M47" s="303"/>
      <c r="N47" s="303"/>
      <c r="O47" s="303"/>
      <c r="P47" s="303"/>
    </row>
    <row r="48" spans="1:10" ht="12.75">
      <c r="A48" s="11" t="s">
        <v>33</v>
      </c>
      <c r="B48" s="18"/>
      <c r="C48" s="18"/>
      <c r="D48" s="18">
        <f>D46-D44</f>
        <v>464152.8300000001</v>
      </c>
      <c r="E48" s="18">
        <f>E46-E44</f>
        <v>433053.8300000001</v>
      </c>
      <c r="F48" s="20">
        <f>F46-F44</f>
        <v>672193.8300000001</v>
      </c>
      <c r="G48" s="20">
        <f>G46-G44</f>
        <v>871373.8300000001</v>
      </c>
      <c r="H48" s="336" t="s">
        <v>377</v>
      </c>
      <c r="I48" s="336"/>
      <c r="J48" s="336"/>
    </row>
    <row r="49" spans="1:7" ht="12.75">
      <c r="A49" s="12"/>
      <c r="B49" s="15"/>
      <c r="C49" s="301"/>
      <c r="D49" s="301"/>
      <c r="E49" s="301"/>
      <c r="F49" s="302"/>
      <c r="G49" s="302"/>
    </row>
    <row r="50" spans="1:9" s="287" customFormat="1" ht="13.5" thickBot="1">
      <c r="A50" s="131" t="s">
        <v>8</v>
      </c>
      <c r="B50" s="132">
        <f aca="true" t="shared" si="12" ref="B50:G50">B33+B34-B37+B38</f>
        <v>-7.275957614183426E-11</v>
      </c>
      <c r="C50" s="132">
        <f t="shared" si="12"/>
        <v>-5.820766091346741E-11</v>
      </c>
      <c r="D50" s="132">
        <f t="shared" si="12"/>
        <v>0</v>
      </c>
      <c r="E50" s="132">
        <f t="shared" si="12"/>
        <v>0</v>
      </c>
      <c r="F50" s="133">
        <f t="shared" si="12"/>
        <v>0</v>
      </c>
      <c r="G50" s="133">
        <f t="shared" si="12"/>
        <v>0</v>
      </c>
      <c r="H50" s="313" t="s">
        <v>282</v>
      </c>
      <c r="I50" s="304"/>
    </row>
    <row r="51" spans="1:7" ht="12.75">
      <c r="A51" s="13"/>
      <c r="B51" s="14"/>
      <c r="C51" s="14"/>
      <c r="D51" s="14"/>
      <c r="E51" s="14"/>
      <c r="F51" s="14"/>
      <c r="G51" s="14"/>
    </row>
    <row r="52" spans="1:7" ht="12.75">
      <c r="A52" s="41" t="s">
        <v>169</v>
      </c>
      <c r="B52" s="139" t="s">
        <v>172</v>
      </c>
      <c r="C52" s="140">
        <f>C2/B2-1</f>
        <v>0.009040248029493325</v>
      </c>
      <c r="D52" s="140">
        <f>D2/C2-1</f>
        <v>0.02879174773625892</v>
      </c>
      <c r="E52" s="140">
        <f>E2/D2-1</f>
        <v>0.026355421686746983</v>
      </c>
      <c r="F52" s="140">
        <f>F2/E2-1</f>
        <v>0.018878040521474126</v>
      </c>
      <c r="G52" s="140">
        <f>G2/F2-1</f>
        <v>8.30863821419392E-05</v>
      </c>
    </row>
    <row r="53" spans="1:7" ht="12.75">
      <c r="A53" s="41" t="s">
        <v>170</v>
      </c>
      <c r="B53" s="139" t="s">
        <v>172</v>
      </c>
      <c r="C53" s="140">
        <f>C13/B13-1</f>
        <v>0.043856378170380905</v>
      </c>
      <c r="D53" s="140">
        <f>D13/C13-1</f>
        <v>-0.00043977810454387534</v>
      </c>
      <c r="E53" s="140">
        <f>E13/D13-1</f>
        <v>0.008768679757934938</v>
      </c>
      <c r="F53" s="140">
        <f>F13/E13-1</f>
        <v>0.003611655239960765</v>
      </c>
      <c r="G53" s="140">
        <f>G13/F13-1</f>
        <v>0.003049710277523543</v>
      </c>
    </row>
    <row r="54" spans="1:7" ht="12.75">
      <c r="A54" s="41" t="s">
        <v>171</v>
      </c>
      <c r="B54" s="141">
        <f aca="true" t="shared" si="13" ref="B54:G54">B2/B13</f>
        <v>1.0715218833160423</v>
      </c>
      <c r="C54" s="141">
        <f t="shared" si="13"/>
        <v>1.0357830152892655</v>
      </c>
      <c r="D54" s="141">
        <f>D2/D13</f>
        <v>1.0660738545140176</v>
      </c>
      <c r="E54" s="141">
        <f>E2/E13</f>
        <v>1.0846596474045054</v>
      </c>
      <c r="F54" s="141">
        <f>F2/F13</f>
        <v>1.101158889905459</v>
      </c>
      <c r="G54" s="141">
        <f t="shared" si="13"/>
        <v>1.097902097902098</v>
      </c>
    </row>
    <row r="55" ht="25.5" customHeight="1" thickBot="1"/>
    <row r="56" spans="1:13" ht="42.75" customHeight="1" thickBot="1">
      <c r="A56" s="42" t="s">
        <v>312</v>
      </c>
      <c r="B56" s="252"/>
      <c r="C56" s="252" t="s">
        <v>394</v>
      </c>
      <c r="D56" s="252" t="s">
        <v>324</v>
      </c>
      <c r="E56" s="252" t="s">
        <v>337</v>
      </c>
      <c r="F56" s="326" t="s">
        <v>375</v>
      </c>
      <c r="G56" s="326" t="s">
        <v>395</v>
      </c>
      <c r="H56" s="147" t="s">
        <v>297</v>
      </c>
      <c r="I56" s="381" t="s">
        <v>317</v>
      </c>
      <c r="J56" s="382"/>
      <c r="K56" s="382"/>
      <c r="L56" s="382"/>
      <c r="M56" s="382"/>
    </row>
    <row r="57" spans="1:10" ht="12.75">
      <c r="A57" s="11" t="s">
        <v>384</v>
      </c>
      <c r="B57" s="305"/>
      <c r="C57" s="305">
        <f>SUM(C58:C59)</f>
        <v>124000</v>
      </c>
      <c r="D57" s="305">
        <f>SUM(D58:D59)</f>
        <v>1730000</v>
      </c>
      <c r="E57" s="305">
        <f>SUM(E58:E59)</f>
        <v>0</v>
      </c>
      <c r="F57" s="306">
        <f>SUM(F58:F59)</f>
        <v>0</v>
      </c>
      <c r="G57" s="306">
        <f>SUM(G58:G59)</f>
        <v>0</v>
      </c>
      <c r="H57" s="349" t="s">
        <v>376</v>
      </c>
      <c r="I57" s="303"/>
      <c r="J57" s="312"/>
    </row>
    <row r="58" spans="1:7" ht="12.75">
      <c r="A58" s="43" t="s">
        <v>177</v>
      </c>
      <c r="B58" s="285"/>
      <c r="C58" s="307"/>
      <c r="D58" s="359">
        <f>500000+700000</f>
        <v>1200000</v>
      </c>
      <c r="E58" s="364"/>
      <c r="F58" s="272"/>
      <c r="G58" s="272"/>
    </row>
    <row r="59" spans="1:9" ht="12.75">
      <c r="A59" s="43" t="s">
        <v>291</v>
      </c>
      <c r="B59" s="285"/>
      <c r="C59" s="307">
        <v>124000</v>
      </c>
      <c r="D59" s="359">
        <v>530000</v>
      </c>
      <c r="E59" s="364"/>
      <c r="F59" s="272"/>
      <c r="G59" s="272"/>
      <c r="H59" s="365" t="s">
        <v>400</v>
      </c>
      <c r="I59" s="363"/>
    </row>
    <row r="60" spans="1:7" ht="13.5" customHeight="1">
      <c r="A60" s="11" t="s">
        <v>385</v>
      </c>
      <c r="B60" s="305"/>
      <c r="C60" s="305">
        <f>SUM(C61:C62)</f>
        <v>100000</v>
      </c>
      <c r="D60" s="305">
        <f>SUM(D61:D62)</f>
        <v>0</v>
      </c>
      <c r="E60" s="305">
        <f>SUM(E61:E62)</f>
        <v>0</v>
      </c>
      <c r="F60" s="306">
        <f>SUM(F61:F62)</f>
        <v>0</v>
      </c>
      <c r="G60" s="306">
        <f>SUM(G61:G62)</f>
        <v>0</v>
      </c>
    </row>
    <row r="61" spans="1:7" ht="13.5" customHeight="1">
      <c r="A61" s="43" t="s">
        <v>177</v>
      </c>
      <c r="B61" s="285"/>
      <c r="C61" s="359">
        <v>85000</v>
      </c>
      <c r="D61" s="271"/>
      <c r="E61" s="271"/>
      <c r="F61" s="272"/>
      <c r="G61" s="272"/>
    </row>
    <row r="62" spans="1:9" ht="13.5" customHeight="1">
      <c r="A62" s="43" t="s">
        <v>291</v>
      </c>
      <c r="B62" s="285"/>
      <c r="C62" s="307">
        <f>7000+8000</f>
        <v>15000</v>
      </c>
      <c r="D62" s="271"/>
      <c r="E62" s="271"/>
      <c r="F62" s="272"/>
      <c r="G62" s="272"/>
      <c r="H62" s="242"/>
      <c r="I62" s="242"/>
    </row>
    <row r="63" spans="1:9" ht="13.5" customHeight="1">
      <c r="A63" s="11" t="s">
        <v>386</v>
      </c>
      <c r="B63" s="305"/>
      <c r="C63" s="305">
        <f>SUM(C64:C65)</f>
        <v>0</v>
      </c>
      <c r="D63" s="305">
        <f>SUM(D64:D65)</f>
        <v>0</v>
      </c>
      <c r="E63" s="305">
        <f>SUM(E64:E65)</f>
        <v>0</v>
      </c>
      <c r="F63" s="306">
        <f>SUM(F64:F65)</f>
        <v>230000</v>
      </c>
      <c r="G63" s="306">
        <f>SUM(G64:G65)</f>
        <v>265500</v>
      </c>
      <c r="H63" s="242"/>
      <c r="I63" s="242"/>
    </row>
    <row r="64" spans="1:9" ht="13.5" customHeight="1">
      <c r="A64" s="43" t="s">
        <v>177</v>
      </c>
      <c r="B64" s="285"/>
      <c r="C64" s="307"/>
      <c r="D64" s="271"/>
      <c r="E64" s="271"/>
      <c r="F64" s="272">
        <v>200000</v>
      </c>
      <c r="G64" s="272">
        <v>200000</v>
      </c>
      <c r="H64" s="242"/>
      <c r="I64" s="242"/>
    </row>
    <row r="65" spans="1:9" ht="13.5" customHeight="1">
      <c r="A65" s="43" t="s">
        <v>291</v>
      </c>
      <c r="B65" s="285"/>
      <c r="C65" s="307"/>
      <c r="D65" s="271"/>
      <c r="E65" s="271"/>
      <c r="F65" s="272">
        <v>30000</v>
      </c>
      <c r="G65" s="272">
        <v>65500</v>
      </c>
      <c r="H65" s="242"/>
      <c r="I65" s="242"/>
    </row>
    <row r="66" spans="1:9" ht="13.5" customHeight="1">
      <c r="A66" s="11" t="s">
        <v>387</v>
      </c>
      <c r="B66" s="305"/>
      <c r="C66" s="305">
        <f>SUM(C67:C68)</f>
        <v>0</v>
      </c>
      <c r="D66" s="305">
        <f>SUM(D67:D68)</f>
        <v>0</v>
      </c>
      <c r="E66" s="305">
        <f>SUM(E67:E68)</f>
        <v>1500000</v>
      </c>
      <c r="F66" s="306">
        <f>SUM(F67:F68)</f>
        <v>0</v>
      </c>
      <c r="G66" s="306">
        <f>SUM(G67:G68)</f>
        <v>0</v>
      </c>
      <c r="H66" s="242"/>
      <c r="I66" s="242"/>
    </row>
    <row r="67" spans="1:9" ht="13.5" customHeight="1">
      <c r="A67" s="43" t="s">
        <v>177</v>
      </c>
      <c r="B67" s="285"/>
      <c r="C67" s="307"/>
      <c r="D67" s="271"/>
      <c r="E67" s="271">
        <v>1275000</v>
      </c>
      <c r="F67" s="272"/>
      <c r="G67" s="272"/>
      <c r="H67" s="242"/>
      <c r="I67" s="242"/>
    </row>
    <row r="68" spans="1:9" ht="13.5" customHeight="1">
      <c r="A68" s="43" t="s">
        <v>291</v>
      </c>
      <c r="B68" s="285"/>
      <c r="C68" s="307"/>
      <c r="D68" s="271"/>
      <c r="E68" s="271">
        <v>225000</v>
      </c>
      <c r="F68" s="272"/>
      <c r="G68" s="272"/>
      <c r="H68" s="242"/>
      <c r="I68" s="242"/>
    </row>
    <row r="69" spans="1:9" ht="13.5" customHeight="1">
      <c r="A69" s="11" t="s">
        <v>388</v>
      </c>
      <c r="B69" s="305"/>
      <c r="C69" s="305">
        <f>SUM(C70:C71)</f>
        <v>274000</v>
      </c>
      <c r="D69" s="305">
        <f>SUM(D70:D71)</f>
        <v>0</v>
      </c>
      <c r="E69" s="305">
        <f>SUM(E70:E71)</f>
        <v>0</v>
      </c>
      <c r="F69" s="306">
        <f>SUM(F70:F71)</f>
        <v>0</v>
      </c>
      <c r="G69" s="306">
        <f>SUM(G70:G71)</f>
        <v>0</v>
      </c>
      <c r="H69" s="242"/>
      <c r="I69" s="242"/>
    </row>
    <row r="70" spans="1:9" ht="13.5" customHeight="1">
      <c r="A70" s="43" t="s">
        <v>177</v>
      </c>
      <c r="B70" s="285"/>
      <c r="C70" s="307"/>
      <c r="D70" s="271"/>
      <c r="E70" s="271"/>
      <c r="F70" s="272"/>
      <c r="G70" s="272"/>
      <c r="H70" s="242"/>
      <c r="I70" s="242"/>
    </row>
    <row r="71" spans="1:9" ht="13.5" customHeight="1">
      <c r="A71" s="43" t="s">
        <v>291</v>
      </c>
      <c r="B71" s="285"/>
      <c r="C71" s="271">
        <v>274000</v>
      </c>
      <c r="D71" s="271"/>
      <c r="E71" s="271"/>
      <c r="F71" s="272"/>
      <c r="G71" s="272"/>
      <c r="H71" s="365" t="s">
        <v>399</v>
      </c>
      <c r="I71" s="242"/>
    </row>
    <row r="72" spans="1:9" ht="13.5" customHeight="1">
      <c r="A72" s="11" t="s">
        <v>389</v>
      </c>
      <c r="B72" s="305"/>
      <c r="C72" s="305">
        <f>SUM(C73:C74)</f>
        <v>0</v>
      </c>
      <c r="D72" s="305">
        <f>SUM(D73:D74)</f>
        <v>0</v>
      </c>
      <c r="E72" s="305">
        <f>SUM(E73:E74)</f>
        <v>0</v>
      </c>
      <c r="F72" s="306">
        <f>SUM(F73:F74)</f>
        <v>342000</v>
      </c>
      <c r="G72" s="306">
        <f>SUM(G73:G74)</f>
        <v>0</v>
      </c>
      <c r="H72" s="242"/>
      <c r="I72" s="242"/>
    </row>
    <row r="73" spans="1:9" ht="13.5" customHeight="1">
      <c r="A73" s="43" t="s">
        <v>177</v>
      </c>
      <c r="B73" s="285"/>
      <c r="C73" s="307"/>
      <c r="D73" s="271"/>
      <c r="E73" s="271"/>
      <c r="F73" s="272">
        <v>300000</v>
      </c>
      <c r="G73" s="272"/>
      <c r="H73" s="242"/>
      <c r="I73" s="242"/>
    </row>
    <row r="74" spans="1:9" ht="13.5" customHeight="1">
      <c r="A74" s="43" t="s">
        <v>291</v>
      </c>
      <c r="B74" s="285"/>
      <c r="C74" s="271"/>
      <c r="D74" s="271"/>
      <c r="E74" s="271"/>
      <c r="F74" s="272">
        <v>42000</v>
      </c>
      <c r="G74" s="272"/>
      <c r="H74" s="269"/>
      <c r="I74" s="242"/>
    </row>
    <row r="75" spans="1:9" ht="13.5" customHeight="1">
      <c r="A75" s="11" t="s">
        <v>390</v>
      </c>
      <c r="B75" s="305"/>
      <c r="C75" s="305">
        <f>SUM(C76:C77)</f>
        <v>162000</v>
      </c>
      <c r="D75" s="305">
        <f>SUM(D76:D77)</f>
        <v>0</v>
      </c>
      <c r="E75" s="305">
        <f>SUM(E76:E77)</f>
        <v>0</v>
      </c>
      <c r="F75" s="306">
        <f>SUM(F76:F77)</f>
        <v>0</v>
      </c>
      <c r="G75" s="306">
        <f>SUM(G76:G77)</f>
        <v>0</v>
      </c>
      <c r="H75" s="242"/>
      <c r="I75" s="242"/>
    </row>
    <row r="76" spans="1:9" ht="13.5" customHeight="1">
      <c r="A76" s="43" t="s">
        <v>177</v>
      </c>
      <c r="B76" s="285"/>
      <c r="C76" s="307">
        <v>22000</v>
      </c>
      <c r="D76" s="271"/>
      <c r="E76" s="271"/>
      <c r="F76" s="272"/>
      <c r="G76" s="272"/>
      <c r="H76" s="242"/>
      <c r="I76" s="242"/>
    </row>
    <row r="77" spans="1:9" ht="13.5" customHeight="1">
      <c r="A77" s="43" t="s">
        <v>291</v>
      </c>
      <c r="B77" s="285"/>
      <c r="C77" s="359">
        <v>140000</v>
      </c>
      <c r="D77" s="271"/>
      <c r="E77" s="271"/>
      <c r="F77" s="272"/>
      <c r="G77" s="272"/>
      <c r="H77" s="365" t="s">
        <v>398</v>
      </c>
      <c r="I77" s="269"/>
    </row>
    <row r="78" spans="1:9" ht="13.5" customHeight="1">
      <c r="A78" s="11" t="s">
        <v>392</v>
      </c>
      <c r="B78" s="305"/>
      <c r="C78" s="305">
        <f>SUM(C79:C80)</f>
        <v>0</v>
      </c>
      <c r="D78" s="305">
        <f>SUM(D79:D80)</f>
        <v>0</v>
      </c>
      <c r="E78" s="305">
        <f>SUM(E79:E80)</f>
        <v>575000</v>
      </c>
      <c r="F78" s="306">
        <f>SUM(F79:F80)</f>
        <v>0</v>
      </c>
      <c r="G78" s="306">
        <f>SUM(G79:G80)</f>
        <v>0</v>
      </c>
      <c r="H78" s="242"/>
      <c r="I78" s="242"/>
    </row>
    <row r="79" spans="1:9" ht="13.5" customHeight="1">
      <c r="A79" s="43" t="s">
        <v>177</v>
      </c>
      <c r="B79" s="285"/>
      <c r="C79" s="307"/>
      <c r="D79" s="271"/>
      <c r="E79" s="271">
        <v>500000</v>
      </c>
      <c r="F79" s="272"/>
      <c r="G79" s="272"/>
      <c r="H79" s="242"/>
      <c r="I79" s="242"/>
    </row>
    <row r="80" spans="1:9" ht="13.5" customHeight="1">
      <c r="A80" s="43" t="s">
        <v>291</v>
      </c>
      <c r="B80" s="285"/>
      <c r="C80" s="307"/>
      <c r="D80" s="271"/>
      <c r="E80" s="271">
        <v>75000</v>
      </c>
      <c r="F80" s="272"/>
      <c r="G80" s="272"/>
      <c r="H80" s="269"/>
      <c r="I80" s="242"/>
    </row>
    <row r="81" spans="1:9" ht="13.5" customHeight="1">
      <c r="A81" s="11"/>
      <c r="B81" s="305"/>
      <c r="C81" s="305">
        <f>SUM(C82:C83)</f>
        <v>0</v>
      </c>
      <c r="D81" s="305">
        <f>SUM(D82:D83)</f>
        <v>0</v>
      </c>
      <c r="E81" s="305">
        <f>SUM(E82:E83)</f>
        <v>0</v>
      </c>
      <c r="F81" s="306">
        <f>SUM(F82:F83)</f>
        <v>0</v>
      </c>
      <c r="G81" s="306">
        <f>SUM(G82:G83)</f>
        <v>0</v>
      </c>
      <c r="H81" s="242"/>
      <c r="I81" s="242"/>
    </row>
    <row r="82" spans="1:9" ht="13.5" customHeight="1">
      <c r="A82" s="43" t="s">
        <v>177</v>
      </c>
      <c r="B82" s="285"/>
      <c r="C82" s="307"/>
      <c r="D82" s="271"/>
      <c r="E82" s="271"/>
      <c r="F82" s="272"/>
      <c r="G82" s="272"/>
      <c r="H82" s="242"/>
      <c r="I82" s="242"/>
    </row>
    <row r="83" spans="1:8" ht="13.5" customHeight="1">
      <c r="A83" s="43" t="s">
        <v>291</v>
      </c>
      <c r="B83" s="285"/>
      <c r="C83" s="271"/>
      <c r="D83" s="271"/>
      <c r="E83" s="271"/>
      <c r="F83" s="272"/>
      <c r="G83" s="272"/>
      <c r="H83" s="242"/>
    </row>
    <row r="84" spans="1:7" ht="13.5" customHeight="1">
      <c r="A84" s="11"/>
      <c r="B84" s="305"/>
      <c r="C84" s="305">
        <f>SUM(C85:C86)</f>
        <v>0</v>
      </c>
      <c r="D84" s="305">
        <f>SUM(D85:D86)</f>
        <v>0</v>
      </c>
      <c r="E84" s="305">
        <f>SUM(E85:E86)</f>
        <v>0</v>
      </c>
      <c r="F84" s="306">
        <f>SUM(F85:F86)</f>
        <v>0</v>
      </c>
      <c r="G84" s="306">
        <f>SUM(G85:G86)</f>
        <v>0</v>
      </c>
    </row>
    <row r="85" spans="1:7" ht="13.5" customHeight="1">
      <c r="A85" s="43" t="s">
        <v>177</v>
      </c>
      <c r="B85" s="285"/>
      <c r="C85" s="307"/>
      <c r="D85" s="271"/>
      <c r="E85" s="271"/>
      <c r="F85" s="272"/>
      <c r="G85" s="272"/>
    </row>
    <row r="86" spans="1:7" ht="13.5" customHeight="1">
      <c r="A86" s="43" t="s">
        <v>291</v>
      </c>
      <c r="B86" s="285"/>
      <c r="C86" s="307"/>
      <c r="D86" s="271"/>
      <c r="E86" s="271"/>
      <c r="F86" s="272"/>
      <c r="G86" s="272"/>
    </row>
    <row r="87" spans="1:7" ht="13.5" customHeight="1">
      <c r="A87" s="11"/>
      <c r="B87" s="305"/>
      <c r="C87" s="305">
        <f>SUM(C88:C89)</f>
        <v>0</v>
      </c>
      <c r="D87" s="305">
        <f>SUM(D88:D89)</f>
        <v>0</v>
      </c>
      <c r="E87" s="305">
        <f>SUM(E88:E89)</f>
        <v>0</v>
      </c>
      <c r="F87" s="306">
        <f>SUM(F88:F89)</f>
        <v>0</v>
      </c>
      <c r="G87" s="306">
        <f>SUM(G88:G89)</f>
        <v>0</v>
      </c>
    </row>
    <row r="88" spans="1:7" ht="13.5" customHeight="1">
      <c r="A88" s="43" t="s">
        <v>177</v>
      </c>
      <c r="B88" s="285"/>
      <c r="C88" s="307"/>
      <c r="D88" s="271"/>
      <c r="E88" s="271"/>
      <c r="F88" s="272"/>
      <c r="G88" s="272"/>
    </row>
    <row r="89" spans="1:21" ht="13.5" customHeight="1">
      <c r="A89" s="43" t="s">
        <v>291</v>
      </c>
      <c r="B89" s="285"/>
      <c r="C89" s="307"/>
      <c r="D89" s="271"/>
      <c r="E89" s="271"/>
      <c r="F89" s="272"/>
      <c r="G89" s="27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</row>
    <row r="90" spans="1:21" ht="13.5" customHeight="1">
      <c r="A90" s="11"/>
      <c r="B90" s="305"/>
      <c r="C90" s="305">
        <f>SUM(C91:C92)</f>
        <v>0</v>
      </c>
      <c r="D90" s="305">
        <f>SUM(D91:D92)</f>
        <v>0</v>
      </c>
      <c r="E90" s="305">
        <f>SUM(E91:E92)</f>
        <v>0</v>
      </c>
      <c r="F90" s="306">
        <f>SUM(F91:F92)</f>
        <v>0</v>
      </c>
      <c r="G90" s="306">
        <f>SUM(G91:G92)</f>
        <v>0</v>
      </c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</row>
    <row r="91" spans="1:21" ht="13.5" customHeight="1">
      <c r="A91" s="43" t="s">
        <v>177</v>
      </c>
      <c r="B91" s="285"/>
      <c r="C91" s="307"/>
      <c r="D91" s="271"/>
      <c r="E91" s="271"/>
      <c r="F91" s="272"/>
      <c r="G91" s="27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</row>
    <row r="92" spans="1:21" ht="13.5" customHeight="1">
      <c r="A92" s="43" t="s">
        <v>291</v>
      </c>
      <c r="B92" s="285"/>
      <c r="C92" s="307"/>
      <c r="D92" s="271"/>
      <c r="E92" s="271"/>
      <c r="F92" s="272"/>
      <c r="G92" s="27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</row>
    <row r="93" spans="1:21" ht="13.5" customHeight="1">
      <c r="A93" s="11"/>
      <c r="B93" s="305"/>
      <c r="C93" s="305">
        <f>SUM(C94:C95)</f>
        <v>0</v>
      </c>
      <c r="D93" s="305">
        <f>SUM(D94:D95)</f>
        <v>0</v>
      </c>
      <c r="E93" s="305">
        <f>SUM(E94:E95)</f>
        <v>0</v>
      </c>
      <c r="F93" s="306">
        <f>SUM(F94:F95)</f>
        <v>0</v>
      </c>
      <c r="G93" s="306">
        <f>SUM(G94:G95)</f>
        <v>0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</row>
    <row r="94" spans="1:21" ht="13.5" customHeight="1">
      <c r="A94" s="43" t="s">
        <v>177</v>
      </c>
      <c r="B94" s="285"/>
      <c r="C94" s="307"/>
      <c r="D94" s="271"/>
      <c r="E94" s="271"/>
      <c r="F94" s="272"/>
      <c r="G94" s="27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</row>
    <row r="95" spans="1:7" ht="12.75">
      <c r="A95" s="43" t="s">
        <v>291</v>
      </c>
      <c r="B95" s="285"/>
      <c r="C95" s="307"/>
      <c r="D95" s="271"/>
      <c r="E95" s="271"/>
      <c r="F95" s="272"/>
      <c r="G95" s="272"/>
    </row>
    <row r="96" spans="1:7" ht="12.75">
      <c r="A96" s="11" t="s">
        <v>184</v>
      </c>
      <c r="B96" s="305"/>
      <c r="C96" s="305">
        <f>SUM(C97:C98)</f>
        <v>126325.55</v>
      </c>
      <c r="D96" s="305">
        <f>SUM(D97:D98)</f>
        <v>80000</v>
      </c>
      <c r="E96" s="305">
        <f>SUM(E97:E98)</f>
        <v>80000</v>
      </c>
      <c r="F96" s="306">
        <f>SUM(F97:F98)</f>
        <v>80000</v>
      </c>
      <c r="G96" s="306">
        <f>SUM(G97:G98)</f>
        <v>80000</v>
      </c>
    </row>
    <row r="97" spans="1:7" ht="12.75">
      <c r="A97" s="43" t="s">
        <v>177</v>
      </c>
      <c r="B97" s="285"/>
      <c r="C97" s="307">
        <v>75103.55</v>
      </c>
      <c r="D97" s="271">
        <v>40000</v>
      </c>
      <c r="E97" s="271">
        <v>40000</v>
      </c>
      <c r="F97" s="272">
        <v>40000</v>
      </c>
      <c r="G97" s="272">
        <v>40000</v>
      </c>
    </row>
    <row r="98" spans="1:7" s="308" customFormat="1" ht="12.75">
      <c r="A98" s="43" t="s">
        <v>291</v>
      </c>
      <c r="B98" s="285"/>
      <c r="C98" s="307">
        <v>51222</v>
      </c>
      <c r="D98" s="271">
        <f>40000</f>
        <v>40000</v>
      </c>
      <c r="E98" s="271">
        <f>40000</f>
        <v>40000</v>
      </c>
      <c r="F98" s="272">
        <f>40000</f>
        <v>40000</v>
      </c>
      <c r="G98" s="272">
        <f>40000</f>
        <v>40000</v>
      </c>
    </row>
    <row r="99" spans="1:8" s="308" customFormat="1" ht="12.75">
      <c r="A99" s="97" t="s">
        <v>6</v>
      </c>
      <c r="B99" s="309"/>
      <c r="C99" s="309">
        <f>SUM(C100:C101)</f>
        <v>786325.55</v>
      </c>
      <c r="D99" s="309">
        <f>SUM(D100:D101)</f>
        <v>1810000</v>
      </c>
      <c r="E99" s="309">
        <f>SUM(E100:E101)</f>
        <v>2155000</v>
      </c>
      <c r="F99" s="310">
        <f>SUM(F100:F101)</f>
        <v>652000</v>
      </c>
      <c r="G99" s="310">
        <f>SUM(G100:G101)</f>
        <v>345500</v>
      </c>
      <c r="H99" s="269"/>
    </row>
    <row r="100" spans="1:7" ht="12.75">
      <c r="A100" s="43" t="s">
        <v>177</v>
      </c>
      <c r="B100" s="285"/>
      <c r="C100" s="285">
        <f aca="true" t="shared" si="14" ref="C100:G101">C58+C61+C64+C67+C70+C73+C76+C79+C82+C85+C88+C91+C94+C97</f>
        <v>182103.55</v>
      </c>
      <c r="D100" s="285">
        <f t="shared" si="14"/>
        <v>1240000</v>
      </c>
      <c r="E100" s="285">
        <f t="shared" si="14"/>
        <v>1815000</v>
      </c>
      <c r="F100" s="285">
        <f t="shared" si="14"/>
        <v>540000</v>
      </c>
      <c r="G100" s="285">
        <f t="shared" si="14"/>
        <v>240000</v>
      </c>
    </row>
    <row r="101" spans="1:7" ht="13.5" thickBot="1">
      <c r="A101" s="43" t="s">
        <v>291</v>
      </c>
      <c r="B101" s="311"/>
      <c r="C101" s="285">
        <f t="shared" si="14"/>
        <v>604222</v>
      </c>
      <c r="D101" s="285">
        <f t="shared" si="14"/>
        <v>570000</v>
      </c>
      <c r="E101" s="285">
        <f t="shared" si="14"/>
        <v>340000</v>
      </c>
      <c r="F101" s="285">
        <f t="shared" si="14"/>
        <v>112000</v>
      </c>
      <c r="G101" s="285">
        <f t="shared" si="14"/>
        <v>105500</v>
      </c>
    </row>
    <row r="102" ht="19.5" customHeight="1">
      <c r="A102" s="92" t="s">
        <v>186</v>
      </c>
    </row>
    <row r="106" ht="12.75">
      <c r="C106" s="271"/>
    </row>
    <row r="113" ht="12.75">
      <c r="A113" s="287"/>
    </row>
  </sheetData>
  <sheetProtection/>
  <mergeCells count="1">
    <mergeCell ref="I56:M56"/>
  </mergeCells>
  <conditionalFormatting sqref="C20 B48:C48 G48">
    <cfRule type="cellIs" priority="5" dxfId="0" operator="lessThan" stopIfTrue="1">
      <formula>0</formula>
    </cfRule>
  </conditionalFormatting>
  <conditionalFormatting sqref="D48">
    <cfRule type="cellIs" priority="3" dxfId="0" operator="lessThan" stopIfTrue="1">
      <formula>0</formula>
    </cfRule>
  </conditionalFormatting>
  <conditionalFormatting sqref="E48">
    <cfRule type="cellIs" priority="2" dxfId="0" operator="lessThan" stopIfTrue="1">
      <formula>0</formula>
    </cfRule>
  </conditionalFormatting>
  <conditionalFormatting sqref="F48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Maire Appo</cp:lastModifiedBy>
  <cp:lastPrinted>2016-05-18T09:33:22Z</cp:lastPrinted>
  <dcterms:created xsi:type="dcterms:W3CDTF">2009-03-11T11:38:40Z</dcterms:created>
  <dcterms:modified xsi:type="dcterms:W3CDTF">2016-05-19T12:27:27Z</dcterms:modified>
  <cp:category/>
  <cp:version/>
  <cp:contentType/>
  <cp:contentStatus/>
</cp:coreProperties>
</file>