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orvavv-my.sharepoint.com/personal/maire_appo_torva_ee/Documents/Documents/2023 eelarve/Eelarve menetlemine/1.lugemine/"/>
    </mc:Choice>
  </mc:AlternateContent>
  <xr:revisionPtr revIDLastSave="2" documentId="8_{F32D58CF-DD04-4C09-8C9B-89F049D32F64}" xr6:coauthVersionLast="47" xr6:coauthVersionMax="47" xr10:uidLastSave="{C31661D3-41F0-4CCA-802B-8BBAC899C17C}"/>
  <bookViews>
    <workbookView xWindow="-120" yWindow="-120" windowWidth="20730" windowHeight="11160" xr2:uid="{56411AAB-A566-44DB-A0DE-683CB145D9AB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8" i="1" l="1"/>
  <c r="D138" i="1"/>
  <c r="C138" i="1"/>
  <c r="E127" i="1"/>
  <c r="E125" i="1" s="1"/>
  <c r="D127" i="1"/>
  <c r="D126" i="1"/>
  <c r="D125" i="1"/>
  <c r="C125" i="1"/>
  <c r="E116" i="1"/>
  <c r="D114" i="1"/>
  <c r="D113" i="1"/>
  <c r="D107" i="1" s="1"/>
  <c r="C113" i="1"/>
  <c r="E110" i="1"/>
  <c r="C109" i="1"/>
  <c r="E108" i="1"/>
  <c r="E107" i="1" s="1"/>
  <c r="D108" i="1"/>
  <c r="C107" i="1"/>
  <c r="E100" i="1"/>
  <c r="D100" i="1"/>
  <c r="C100" i="1"/>
  <c r="E98" i="1"/>
  <c r="E93" i="1" s="1"/>
  <c r="E97" i="1"/>
  <c r="D97" i="1"/>
  <c r="D94" i="1"/>
  <c r="D93" i="1" s="1"/>
  <c r="C94" i="1"/>
  <c r="C93" i="1" s="1"/>
  <c r="C90" i="1"/>
  <c r="E89" i="1"/>
  <c r="D89" i="1"/>
  <c r="D86" i="1" s="1"/>
  <c r="C89" i="1"/>
  <c r="C86" i="1" s="1"/>
  <c r="E86" i="1"/>
  <c r="D84" i="1"/>
  <c r="E83" i="1"/>
  <c r="D83" i="1"/>
  <c r="E76" i="1"/>
  <c r="D76" i="1"/>
  <c r="D69" i="1" s="1"/>
  <c r="E69" i="1"/>
  <c r="C69" i="1"/>
  <c r="E65" i="1"/>
  <c r="D65" i="1"/>
  <c r="C65" i="1"/>
  <c r="E63" i="1"/>
  <c r="D63" i="1"/>
  <c r="C63" i="1"/>
  <c r="E60" i="1"/>
  <c r="D60" i="1"/>
  <c r="C60" i="1"/>
  <c r="E58" i="1"/>
  <c r="E56" i="1" s="1"/>
  <c r="D58" i="1"/>
  <c r="D56" i="1"/>
  <c r="C56" i="1"/>
  <c r="C55" i="1" s="1"/>
  <c r="E49" i="1"/>
  <c r="D49" i="1"/>
  <c r="C49" i="1"/>
  <c r="E35" i="1"/>
  <c r="D35" i="1"/>
  <c r="C35" i="1"/>
  <c r="E30" i="1"/>
  <c r="D30" i="1"/>
  <c r="C30" i="1"/>
  <c r="C24" i="1" s="1"/>
  <c r="E25" i="1"/>
  <c r="E24" i="1" s="1"/>
  <c r="D25" i="1"/>
  <c r="C25" i="1"/>
  <c r="D24" i="1"/>
  <c r="E19" i="1"/>
  <c r="D19" i="1"/>
  <c r="C19" i="1"/>
  <c r="E18" i="1"/>
  <c r="D18" i="1"/>
  <c r="E15" i="1"/>
  <c r="E6" i="1" s="1"/>
  <c r="D15" i="1"/>
  <c r="C15" i="1"/>
  <c r="E7" i="1"/>
  <c r="D7" i="1"/>
  <c r="D6" i="1" s="1"/>
  <c r="D34" i="1" s="1"/>
  <c r="D48" i="1" s="1"/>
  <c r="D54" i="1" s="1"/>
  <c r="C7" i="1"/>
  <c r="C6" i="1" s="1"/>
  <c r="E55" i="1" l="1"/>
  <c r="D55" i="1"/>
  <c r="C34" i="1"/>
  <c r="C48" i="1" s="1"/>
  <c r="C54" i="1" s="1"/>
  <c r="E34" i="1"/>
  <c r="E48" i="1" s="1"/>
  <c r="E54" i="1" s="1"/>
</calcChain>
</file>

<file path=xl/sharedStrings.xml><?xml version="1.0" encoding="utf-8"?>
<sst xmlns="http://schemas.openxmlformats.org/spreadsheetml/2006/main" count="276" uniqueCount="275">
  <si>
    <t>TÕRVA VALD 2023.a eelarve eelnõu</t>
  </si>
  <si>
    <t>2023 eelarve eelnõu</t>
  </si>
  <si>
    <t xml:space="preserve">2022 eelarve </t>
  </si>
  <si>
    <t xml:space="preserve">2021 tegelik </t>
  </si>
  <si>
    <t>PÕHITEGEVUSE TULUD KOKKU</t>
  </si>
  <si>
    <t>30</t>
  </si>
  <si>
    <t>Maksutulud</t>
  </si>
  <si>
    <t>3000</t>
  </si>
  <si>
    <t>Füüsilise isiku tulumaks</t>
  </si>
  <si>
    <t>3030</t>
  </si>
  <si>
    <t>Maamaks</t>
  </si>
  <si>
    <t>3034</t>
  </si>
  <si>
    <t>Loomapidamismaks</t>
  </si>
  <si>
    <t>3044</t>
  </si>
  <si>
    <t>Reklaamimaks</t>
  </si>
  <si>
    <t>3045</t>
  </si>
  <si>
    <t>Teede ja tänavate sulgemise maks</t>
  </si>
  <si>
    <t>3047</t>
  </si>
  <si>
    <t>Parkimistasu</t>
  </si>
  <si>
    <t>32</t>
  </si>
  <si>
    <t>Tulud kaupade ja teenuste müügist</t>
  </si>
  <si>
    <t>Saadavad toetused tegevuskuludeks</t>
  </si>
  <si>
    <t>35200</t>
  </si>
  <si>
    <t>Tasandusfond</t>
  </si>
  <si>
    <t>35201</t>
  </si>
  <si>
    <t xml:space="preserve">Toetusfond </t>
  </si>
  <si>
    <t>3500, 352</t>
  </si>
  <si>
    <t>Muud saadud toetused tegevuskuludeks</t>
  </si>
  <si>
    <t xml:space="preserve">Muud tegevustulud </t>
  </si>
  <si>
    <t>38250, 38251</t>
  </si>
  <si>
    <t>Kaevandamisõiguse tasu</t>
  </si>
  <si>
    <t>38252, 38254</t>
  </si>
  <si>
    <t>Laekumine vee erikasutusest</t>
  </si>
  <si>
    <t>3882</t>
  </si>
  <si>
    <t>Saastetasud ja keskkonnale tekitatud kahju hüvitis</t>
  </si>
  <si>
    <t>3880, 3888</t>
  </si>
  <si>
    <t>PÕHITEGEVUSE KULUD KOKKU</t>
  </si>
  <si>
    <t>Antud toetused tegevuskuludeks</t>
  </si>
  <si>
    <t>40</t>
  </si>
  <si>
    <t>Subsiidiumid ettevõtlusega tegelevatele isikutele</t>
  </si>
  <si>
    <t>413</t>
  </si>
  <si>
    <t>Sotsiaalabitoetused ja muud toetused füüsilistele isikutele</t>
  </si>
  <si>
    <t>45</t>
  </si>
  <si>
    <t>Sihtotstarbelised toetused tegevuskuludeks</t>
  </si>
  <si>
    <t>452</t>
  </si>
  <si>
    <t>Mittesihtotstarbelised toetused</t>
  </si>
  <si>
    <t>Muud tegevuskulud</t>
  </si>
  <si>
    <t>50</t>
  </si>
  <si>
    <t>Tööjõukulud</t>
  </si>
  <si>
    <t>55</t>
  </si>
  <si>
    <t>Majandamiskulud</t>
  </si>
  <si>
    <t>60</t>
  </si>
  <si>
    <t>Muud kulud</t>
  </si>
  <si>
    <t>PÕHITEGEVUSE TULEM</t>
  </si>
  <si>
    <t>INVESTEERIMISTEGEVUS KOKKU</t>
  </si>
  <si>
    <t>381</t>
  </si>
  <si>
    <t>Põhivara müük (+)</t>
  </si>
  <si>
    <t>15</t>
  </si>
  <si>
    <t>Põhivara soetus (-)</t>
  </si>
  <si>
    <t>3502</t>
  </si>
  <si>
    <t>Põhivara soetuseks saadav sihtfin (+)</t>
  </si>
  <si>
    <t>4502</t>
  </si>
  <si>
    <t>Põhivara soetuseks antav sihtfin (-)</t>
  </si>
  <si>
    <t>1502</t>
  </si>
  <si>
    <t>Osaluste müük (+)</t>
  </si>
  <si>
    <t>1501</t>
  </si>
  <si>
    <t>Osaluste soetus (-)</t>
  </si>
  <si>
    <t>1512</t>
  </si>
  <si>
    <t>Muude aktsiate ja osade müük (+)</t>
  </si>
  <si>
    <t>1511</t>
  </si>
  <si>
    <t>Muude aktsiate ja osade soetus (-)</t>
  </si>
  <si>
    <t>1532</t>
  </si>
  <si>
    <t>Tagasilaekuvad laenud (+)</t>
  </si>
  <si>
    <t>1531</t>
  </si>
  <si>
    <t>Antavad laenud (-)</t>
  </si>
  <si>
    <t>655</t>
  </si>
  <si>
    <t>Finantstulud (+)</t>
  </si>
  <si>
    <t>650</t>
  </si>
  <si>
    <t>Finantstkulud (-)</t>
  </si>
  <si>
    <t>EELARVE TULEM (ÜLEJÄÄK (+) / PUUDUJÄÄK (-))</t>
  </si>
  <si>
    <t>FINANTSEERIMISTEGEVUS</t>
  </si>
  <si>
    <t>2585</t>
  </si>
  <si>
    <t>Kohustuste võtmine (+)</t>
  </si>
  <si>
    <t>2586</t>
  </si>
  <si>
    <t>Kohustuste tasumine (-)</t>
  </si>
  <si>
    <t>100</t>
  </si>
  <si>
    <t>LIKVIIDSETE VARADE MUUTUS (+ suurenemine, - vähenemine)</t>
  </si>
  <si>
    <t>NÕUETE JA KOHUSTUSTE SALDODE MUUTUS (tekkepõhise e/a korral) (+/-)</t>
  </si>
  <si>
    <t>PÕHITEGEVUSE KULUDE JA INVESTEERIMISTEGEVUSE VÄLJAMINEKUTE JAOTUS TEGEVUSALADE JÄRGI</t>
  </si>
  <si>
    <t>01</t>
  </si>
  <si>
    <t>Üldised valitsussektori teenused</t>
  </si>
  <si>
    <t>01111</t>
  </si>
  <si>
    <t>Valla- ja linnavolikogu</t>
  </si>
  <si>
    <t>01112</t>
  </si>
  <si>
    <t>Valla- ja linnavalitsus</t>
  </si>
  <si>
    <t>01114</t>
  </si>
  <si>
    <t>Reservfond</t>
  </si>
  <si>
    <t>01600</t>
  </si>
  <si>
    <t xml:space="preserve">Muud üldised valitsussektori teenused  </t>
  </si>
  <si>
    <t>01700</t>
  </si>
  <si>
    <t>Valitsussektori võla teenindamine</t>
  </si>
  <si>
    <t>Ülalnimetamata üldised valitsussektori kulud kokku</t>
  </si>
  <si>
    <t>02</t>
  </si>
  <si>
    <t>Riigikaitse</t>
  </si>
  <si>
    <t>02300</t>
  </si>
  <si>
    <t>Kaitseotstarbeline väisabi</t>
  </si>
  <si>
    <t>03</t>
  </si>
  <si>
    <t>Avalik kord ja julgeolek</t>
  </si>
  <si>
    <t>03100</t>
  </si>
  <si>
    <t>Politsei</t>
  </si>
  <si>
    <t>03200</t>
  </si>
  <si>
    <t>Päästeteenused</t>
  </si>
  <si>
    <t>Muu avalik kord ja julgeolek kokku</t>
  </si>
  <si>
    <t>04</t>
  </si>
  <si>
    <t>Majandus</t>
  </si>
  <si>
    <t>04120</t>
  </si>
  <si>
    <t>Ettevõtluse arengu toetamine, stardiabi</t>
  </si>
  <si>
    <t>04210</t>
  </si>
  <si>
    <t>Põllumajandus</t>
  </si>
  <si>
    <t>04220</t>
  </si>
  <si>
    <t>Metsamajandus</t>
  </si>
  <si>
    <t>04230</t>
  </si>
  <si>
    <t>Kalandus ja jahindus</t>
  </si>
  <si>
    <t>04350</t>
  </si>
  <si>
    <t>Elektrienergia</t>
  </si>
  <si>
    <t>04360</t>
  </si>
  <si>
    <t>Muu energia- ja soojamajandus</t>
  </si>
  <si>
    <t>04510</t>
  </si>
  <si>
    <t>Maanteetransport (vallateede- ja tänavate korrashoid)</t>
  </si>
  <si>
    <t>04512</t>
  </si>
  <si>
    <t>Ühistranspordi korraldus</t>
  </si>
  <si>
    <t>04520</t>
  </si>
  <si>
    <t>Veetransport</t>
  </si>
  <si>
    <t>04540</t>
  </si>
  <si>
    <t>Õhutransport</t>
  </si>
  <si>
    <t>04600</t>
  </si>
  <si>
    <t>Side</t>
  </si>
  <si>
    <t>04710</t>
  </si>
  <si>
    <t>Kaubandus ja laondus</t>
  </si>
  <si>
    <t>04730</t>
  </si>
  <si>
    <t>Turism</t>
  </si>
  <si>
    <t>04740</t>
  </si>
  <si>
    <t>Üldmajanduslikud arendusprojektid</t>
  </si>
  <si>
    <t>04900</t>
  </si>
  <si>
    <t>Muu majandus (sh.majanduse haldamine)</t>
  </si>
  <si>
    <t>Ülalnimetamata majandus kokku</t>
  </si>
  <si>
    <t>05</t>
  </si>
  <si>
    <t>Keskkonnakaitse</t>
  </si>
  <si>
    <t>05100</t>
  </si>
  <si>
    <t>Jäätmekäitlus (prügivedu)</t>
  </si>
  <si>
    <t>05101</t>
  </si>
  <si>
    <t>Avalike alade puhastus</t>
  </si>
  <si>
    <t>05200</t>
  </si>
  <si>
    <t>Heitveekäitlus</t>
  </si>
  <si>
    <t>05300</t>
  </si>
  <si>
    <t>Saaste vähendamine</t>
  </si>
  <si>
    <t>05400</t>
  </si>
  <si>
    <t>Bioloogilise mitmekesisuse ja maastiku kaitse, haljastus</t>
  </si>
  <si>
    <t>Ülalnimetamata keskkonnakaitse kulud kokku</t>
  </si>
  <si>
    <t>06</t>
  </si>
  <si>
    <t>Elamu- ja kommunaalmajandus</t>
  </si>
  <si>
    <t>06100</t>
  </si>
  <si>
    <t>Elamumajanduse arendamine</t>
  </si>
  <si>
    <t>06200</t>
  </si>
  <si>
    <t>Kommunaalmajanduse arendamine</t>
  </si>
  <si>
    <t>06300</t>
  </si>
  <si>
    <t>Veevarustus</t>
  </si>
  <si>
    <t>06400</t>
  </si>
  <si>
    <t>Tänavavalgustus</t>
  </si>
  <si>
    <t>06605</t>
  </si>
  <si>
    <t>Muu elamu- ja kommunaalmajanduse tegevus</t>
  </si>
  <si>
    <t>Ülalnimetamata elamu-ja kommunaalmajanduse kulud kokku</t>
  </si>
  <si>
    <t>07</t>
  </si>
  <si>
    <t>Tervishoid</t>
  </si>
  <si>
    <t>07110</t>
  </si>
  <si>
    <t>Farmaatsiatooted - apteegid</t>
  </si>
  <si>
    <t>07200</t>
  </si>
  <si>
    <t>Ambulatoorsed teenused  (kiirabi)</t>
  </si>
  <si>
    <t>07300</t>
  </si>
  <si>
    <t>Haiglateenused</t>
  </si>
  <si>
    <t>07400</t>
  </si>
  <si>
    <t>Avalikud tervishoiuteenused</t>
  </si>
  <si>
    <t>07600</t>
  </si>
  <si>
    <t>Muu tervishoid, sh. tervishoiu haldamine</t>
  </si>
  <si>
    <t>Ülalnimetamata tervishoiukulud  kokku</t>
  </si>
  <si>
    <t>08</t>
  </si>
  <si>
    <t>Vaba aeg, kultuur ja religioon</t>
  </si>
  <si>
    <t>08102</t>
  </si>
  <si>
    <t>Sport</t>
  </si>
  <si>
    <t>08103</t>
  </si>
  <si>
    <t>Puhkepargid ja -baasid</t>
  </si>
  <si>
    <t>08107</t>
  </si>
  <si>
    <t>Noorsootöö ja noortekeskused</t>
  </si>
  <si>
    <t>08109</t>
  </si>
  <si>
    <t>Vaba aja üritused</t>
  </si>
  <si>
    <t>08201</t>
  </si>
  <si>
    <t>Raamatukogud</t>
  </si>
  <si>
    <t>08202</t>
  </si>
  <si>
    <t>Rahvakultuur</t>
  </si>
  <si>
    <t>08203</t>
  </si>
  <si>
    <t>Muuseumid</t>
  </si>
  <si>
    <t>08234</t>
  </si>
  <si>
    <t>Teatrid</t>
  </si>
  <si>
    <t>08235</t>
  </si>
  <si>
    <t>Audiovisuaal, sh kinod</t>
  </si>
  <si>
    <t>08236</t>
  </si>
  <si>
    <t>Muusika (kontsertorganisatsioonid)</t>
  </si>
  <si>
    <t>08207</t>
  </si>
  <si>
    <t>Muinsuskaitse</t>
  </si>
  <si>
    <t>08210</t>
  </si>
  <si>
    <t>Loomaaed</t>
  </si>
  <si>
    <t>08211</t>
  </si>
  <si>
    <t>Botaanikaaed</t>
  </si>
  <si>
    <t>08300</t>
  </si>
  <si>
    <t>Ringhäälingu- ja kirjastamisteenused</t>
  </si>
  <si>
    <t>08400</t>
  </si>
  <si>
    <t>Religiooni- ja muud ühiskonnateenused</t>
  </si>
  <si>
    <t>08600</t>
  </si>
  <si>
    <t>Muu vaba aeg, kultuur, religioon, sh. haldus</t>
  </si>
  <si>
    <t>09</t>
  </si>
  <si>
    <t>Haridus</t>
  </si>
  <si>
    <t>09110</t>
  </si>
  <si>
    <t>Alusharidus (lasteaiad)</t>
  </si>
  <si>
    <t>09210-09221</t>
  </si>
  <si>
    <t>Üldhariduskoolid, sh LAK</t>
  </si>
  <si>
    <t>09222, 09223</t>
  </si>
  <si>
    <t>Kutseõppeasutused</t>
  </si>
  <si>
    <t>09400</t>
  </si>
  <si>
    <t>Kolmanda taseme haridus - kõrgkoolid</t>
  </si>
  <si>
    <t>09500</t>
  </si>
  <si>
    <t xml:space="preserve">Taseme alusel mittemääratletav haridus </t>
  </si>
  <si>
    <t>09510</t>
  </si>
  <si>
    <t>Noorte huviharidus ja huvitegevus</t>
  </si>
  <si>
    <t>09600</t>
  </si>
  <si>
    <t>Koolitransport</t>
  </si>
  <si>
    <t>09601</t>
  </si>
  <si>
    <t>Koolitoit</t>
  </si>
  <si>
    <t>09602</t>
  </si>
  <si>
    <t>Öömaja</t>
  </si>
  <si>
    <t>09609</t>
  </si>
  <si>
    <t>Muud hariduse abiteenused</t>
  </si>
  <si>
    <t>09800</t>
  </si>
  <si>
    <t>Muu haridus, sh. hariduse haldus</t>
  </si>
  <si>
    <t>Ülalnimetamata hariduse kulud kokku</t>
  </si>
  <si>
    <t>10</t>
  </si>
  <si>
    <t>Sotsiaalne kaitse</t>
  </si>
  <si>
    <t>10110</t>
  </si>
  <si>
    <t>Haigete sotsiaalne kaitse</t>
  </si>
  <si>
    <t>10120</t>
  </si>
  <si>
    <t>Puuetega inimeste sotsiaalhoolekande asutused</t>
  </si>
  <si>
    <t>10121</t>
  </si>
  <si>
    <t>Muu puuetega inimeste sotsiaalne kaitse</t>
  </si>
  <si>
    <t>10200</t>
  </si>
  <si>
    <t>Eakate sotsiaalhoolekande asutused</t>
  </si>
  <si>
    <t>10201</t>
  </si>
  <si>
    <t>Muu eakate sotsiaalne kaitse</t>
  </si>
  <si>
    <t>10300</t>
  </si>
  <si>
    <t>Toitjakaotanute sotsiaalne kaitse</t>
  </si>
  <si>
    <t>10400</t>
  </si>
  <si>
    <t>Laste ja noorte sotsiaalhoolekande asutused</t>
  </si>
  <si>
    <t>10402</t>
  </si>
  <si>
    <t>Muu perekondade ja laste sotsiaalne kaitse</t>
  </si>
  <si>
    <t>10500</t>
  </si>
  <si>
    <t>Töötute sotsiaalne kaitse</t>
  </si>
  <si>
    <t>10600</t>
  </si>
  <si>
    <t>Eluasemeteenused sotsiaalsetele riskirühmadele</t>
  </si>
  <si>
    <t>10700</t>
  </si>
  <si>
    <t>Riskirühmade sotsiaalhoolekande asutused</t>
  </si>
  <si>
    <t>10701</t>
  </si>
  <si>
    <t>Riiklik toimetulekutoetus</t>
  </si>
  <si>
    <t>10702</t>
  </si>
  <si>
    <t>Muu sotsiaalsete riskirühmade kaitse</t>
  </si>
  <si>
    <t>10900</t>
  </si>
  <si>
    <t>Muu sotsiaalne kaitse, sh. sotsiaalse kaitse haldus</t>
  </si>
  <si>
    <t>Ülalnimetamata sotsiaalse kaitse kulud kokku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</si>
</sst>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Arial"/>
      <family val="1"/>
    </font>
    <font>
      <sz val="10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9"/>
      <name val="Times New Roman"/>
      <family val="1"/>
      <charset val="186"/>
    </font>
    <font>
      <sz val="1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31"/>
      </top>
      <bottom style="thin">
        <color indexed="31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9" fillId="0" borderId="0"/>
  </cellStyleXfs>
  <cellXfs count="99">
    <xf numFmtId="0" fontId="0" fillId="0" borderId="0" xfId="0"/>
    <xf numFmtId="0" fontId="4" fillId="0" borderId="0" xfId="1" applyFont="1" applyAlignment="1">
      <alignment horizontal="left"/>
    </xf>
    <xf numFmtId="49" fontId="5" fillId="0" borderId="0" xfId="0" applyNumberFormat="1" applyFont="1"/>
    <xf numFmtId="49" fontId="6" fillId="0" borderId="0" xfId="0" applyNumberFormat="1" applyFont="1"/>
    <xf numFmtId="2" fontId="5" fillId="0" borderId="0" xfId="0" applyNumberFormat="1" applyFont="1" applyAlignment="1">
      <alignment horizontal="right"/>
    </xf>
    <xf numFmtId="49" fontId="5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left" wrapText="1"/>
    </xf>
    <xf numFmtId="49" fontId="5" fillId="0" borderId="2" xfId="0" applyNumberFormat="1" applyFont="1" applyBorder="1" applyAlignment="1">
      <alignment horizontal="left"/>
    </xf>
    <xf numFmtId="4" fontId="5" fillId="0" borderId="3" xfId="2" applyNumberFormat="1" applyFont="1" applyBorder="1"/>
    <xf numFmtId="4" fontId="8" fillId="0" borderId="3" xfId="2" applyNumberFormat="1" applyFont="1" applyBorder="1"/>
    <xf numFmtId="49" fontId="5" fillId="0" borderId="1" xfId="0" applyNumberFormat="1" applyFont="1" applyBorder="1" applyAlignment="1">
      <alignment horizontal="left" wrapText="1"/>
    </xf>
    <xf numFmtId="4" fontId="5" fillId="0" borderId="2" xfId="2" applyNumberFormat="1" applyFont="1" applyBorder="1"/>
    <xf numFmtId="4" fontId="8" fillId="0" borderId="2" xfId="2" applyNumberFormat="1" applyFont="1" applyBorder="1"/>
    <xf numFmtId="49" fontId="6" fillId="0" borderId="4" xfId="0" applyNumberFormat="1" applyFont="1" applyBorder="1" applyAlignment="1">
      <alignment horizontal="left" wrapText="1"/>
    </xf>
    <xf numFmtId="49" fontId="6" fillId="0" borderId="5" xfId="0" applyNumberFormat="1" applyFont="1" applyBorder="1" applyAlignment="1">
      <alignment horizontal="left" wrapText="1"/>
    </xf>
    <xf numFmtId="4" fontId="4" fillId="0" borderId="6" xfId="3" applyNumberFormat="1" applyFont="1" applyBorder="1"/>
    <xf numFmtId="49" fontId="6" fillId="0" borderId="7" xfId="0" applyNumberFormat="1" applyFont="1" applyBorder="1" applyAlignment="1">
      <alignment horizontal="left" wrapText="1"/>
    </xf>
    <xf numFmtId="49" fontId="6" fillId="0" borderId="8" xfId="0" applyNumberFormat="1" applyFont="1" applyBorder="1" applyAlignment="1">
      <alignment horizontal="left" wrapText="1"/>
    </xf>
    <xf numFmtId="4" fontId="4" fillId="0" borderId="7" xfId="3" applyNumberFormat="1" applyFont="1" applyBorder="1"/>
    <xf numFmtId="4" fontId="6" fillId="0" borderId="7" xfId="2" applyNumberFormat="1" applyFont="1" applyBorder="1" applyProtection="1">
      <protection locked="0"/>
    </xf>
    <xf numFmtId="49" fontId="6" fillId="0" borderId="8" xfId="0" applyNumberFormat="1" applyFont="1" applyBorder="1" applyAlignment="1">
      <alignment horizontal="left"/>
    </xf>
    <xf numFmtId="49" fontId="6" fillId="0" borderId="9" xfId="0" applyNumberFormat="1" applyFont="1" applyBorder="1" applyAlignment="1">
      <alignment horizontal="left" wrapText="1"/>
    </xf>
    <xf numFmtId="49" fontId="6" fillId="0" borderId="10" xfId="0" applyNumberFormat="1" applyFont="1" applyBorder="1" applyAlignment="1">
      <alignment horizontal="left" wrapText="1"/>
    </xf>
    <xf numFmtId="4" fontId="6" fillId="0" borderId="11" xfId="2" applyNumberFormat="1" applyFont="1" applyBorder="1" applyProtection="1">
      <protection locked="0"/>
    </xf>
    <xf numFmtId="49" fontId="5" fillId="0" borderId="12" xfId="0" applyNumberFormat="1" applyFont="1" applyBorder="1" applyAlignment="1">
      <alignment horizontal="left" wrapText="1"/>
    </xf>
    <xf numFmtId="49" fontId="5" fillId="0" borderId="1" xfId="0" applyNumberFormat="1" applyFont="1" applyBorder="1" applyAlignment="1">
      <alignment horizontal="left"/>
    </xf>
    <xf numFmtId="4" fontId="8" fillId="0" borderId="13" xfId="3" applyNumberFormat="1" applyFont="1" applyBorder="1"/>
    <xf numFmtId="49" fontId="5" fillId="0" borderId="13" xfId="0" applyNumberFormat="1" applyFont="1" applyBorder="1" applyAlignment="1">
      <alignment horizontal="left" wrapText="1"/>
    </xf>
    <xf numFmtId="4" fontId="5" fillId="0" borderId="13" xfId="2" applyNumberFormat="1" applyFont="1" applyBorder="1"/>
    <xf numFmtId="4" fontId="8" fillId="0" borderId="13" xfId="2" applyNumberFormat="1" applyFont="1" applyBorder="1"/>
    <xf numFmtId="4" fontId="6" fillId="0" borderId="4" xfId="2" applyNumberFormat="1" applyFont="1" applyBorder="1" applyProtection="1">
      <protection locked="0"/>
    </xf>
    <xf numFmtId="49" fontId="10" fillId="0" borderId="9" xfId="0" applyNumberFormat="1" applyFont="1" applyBorder="1" applyAlignment="1">
      <alignment horizontal="right"/>
    </xf>
    <xf numFmtId="49" fontId="6" fillId="0" borderId="9" xfId="0" applyNumberFormat="1" applyFont="1" applyBorder="1" applyAlignment="1">
      <alignment horizontal="left"/>
    </xf>
    <xf numFmtId="4" fontId="6" fillId="0" borderId="9" xfId="2" applyNumberFormat="1" applyFont="1" applyBorder="1" applyProtection="1">
      <protection locked="0"/>
    </xf>
    <xf numFmtId="4" fontId="8" fillId="0" borderId="1" xfId="2" applyNumberFormat="1" applyFont="1" applyBorder="1"/>
    <xf numFmtId="49" fontId="6" fillId="0" borderId="7" xfId="0" applyNumberFormat="1" applyFont="1" applyBorder="1" applyAlignment="1">
      <alignment horizontal="left"/>
    </xf>
    <xf numFmtId="49" fontId="11" fillId="0" borderId="7" xfId="0" applyNumberFormat="1" applyFont="1" applyBorder="1" applyAlignment="1">
      <alignment horizontal="left" wrapText="1"/>
    </xf>
    <xf numFmtId="4" fontId="5" fillId="0" borderId="1" xfId="2" applyNumberFormat="1" applyFont="1" applyBorder="1"/>
    <xf numFmtId="49" fontId="12" fillId="0" borderId="5" xfId="0" applyNumberFormat="1" applyFont="1" applyBorder="1" applyAlignment="1">
      <alignment horizontal="left" wrapText="1"/>
    </xf>
    <xf numFmtId="4" fontId="13" fillId="0" borderId="14" xfId="2" applyNumberFormat="1" applyFont="1" applyBorder="1" applyProtection="1">
      <protection locked="0"/>
    </xf>
    <xf numFmtId="49" fontId="12" fillId="0" borderId="8" xfId="0" applyNumberFormat="1" applyFont="1" applyBorder="1" applyAlignment="1">
      <alignment horizontal="left"/>
    </xf>
    <xf numFmtId="4" fontId="4" fillId="0" borderId="15" xfId="3" applyNumberFormat="1" applyFont="1" applyBorder="1"/>
    <xf numFmtId="49" fontId="12" fillId="0" borderId="8" xfId="0" applyNumberFormat="1" applyFont="1" applyBorder="1" applyAlignment="1">
      <alignment horizontal="left" wrapText="1"/>
    </xf>
    <xf numFmtId="49" fontId="12" fillId="0" borderId="10" xfId="0" applyNumberFormat="1" applyFont="1" applyBorder="1" applyAlignment="1">
      <alignment horizontal="left" wrapText="1"/>
    </xf>
    <xf numFmtId="4" fontId="6" fillId="0" borderId="16" xfId="2" applyNumberFormat="1" applyFont="1" applyBorder="1" applyProtection="1">
      <protection locked="0"/>
    </xf>
    <xf numFmtId="4" fontId="4" fillId="0" borderId="4" xfId="3" applyNumberFormat="1" applyFont="1" applyBorder="1"/>
    <xf numFmtId="4" fontId="4" fillId="0" borderId="9" xfId="3" applyNumberFormat="1" applyFont="1" applyBorder="1"/>
    <xf numFmtId="49" fontId="8" fillId="0" borderId="1" xfId="0" applyNumberFormat="1" applyFont="1" applyBorder="1" applyAlignment="1">
      <alignment horizontal="left" wrapText="1"/>
    </xf>
    <xf numFmtId="49" fontId="8" fillId="0" borderId="12" xfId="0" applyNumberFormat="1" applyFont="1" applyBorder="1" applyAlignment="1">
      <alignment horizontal="left"/>
    </xf>
    <xf numFmtId="4" fontId="8" fillId="0" borderId="1" xfId="1" applyNumberFormat="1" applyFont="1" applyBorder="1"/>
    <xf numFmtId="49" fontId="14" fillId="0" borderId="12" xfId="0" applyNumberFormat="1" applyFont="1" applyBorder="1" applyAlignment="1">
      <alignment horizontal="left"/>
    </xf>
    <xf numFmtId="4" fontId="13" fillId="0" borderId="7" xfId="1" applyNumberFormat="1" applyFont="1" applyBorder="1"/>
    <xf numFmtId="4" fontId="13" fillId="0" borderId="7" xfId="2" applyNumberFormat="1" applyFont="1" applyBorder="1" applyProtection="1">
      <protection locked="0"/>
    </xf>
    <xf numFmtId="49" fontId="15" fillId="0" borderId="1" xfId="0" applyNumberFormat="1" applyFont="1" applyBorder="1" applyAlignment="1">
      <alignment horizontal="left" wrapText="1"/>
    </xf>
    <xf numFmtId="4" fontId="13" fillId="0" borderId="4" xfId="1" applyNumberFormat="1" applyFont="1" applyBorder="1" applyProtection="1">
      <protection locked="0"/>
    </xf>
    <xf numFmtId="49" fontId="5" fillId="0" borderId="17" xfId="0" applyNumberFormat="1" applyFont="1" applyBorder="1" applyAlignment="1">
      <alignment horizontal="left" wrapText="1"/>
    </xf>
    <xf numFmtId="49" fontId="14" fillId="0" borderId="17" xfId="0" applyNumberFormat="1" applyFont="1" applyBorder="1" applyAlignment="1">
      <alignment horizontal="left" wrapText="1"/>
    </xf>
    <xf numFmtId="4" fontId="13" fillId="0" borderId="13" xfId="1" applyNumberFormat="1" applyFont="1" applyBorder="1" applyProtection="1">
      <protection locked="0"/>
    </xf>
    <xf numFmtId="49" fontId="5" fillId="0" borderId="18" xfId="0" applyNumberFormat="1" applyFont="1" applyBorder="1" applyAlignment="1">
      <alignment horizontal="left" wrapText="1"/>
    </xf>
    <xf numFmtId="49" fontId="14" fillId="0" borderId="18" xfId="0" applyNumberFormat="1" applyFont="1" applyBorder="1" applyAlignment="1">
      <alignment horizontal="left" wrapText="1"/>
    </xf>
    <xf numFmtId="4" fontId="6" fillId="0" borderId="3" xfId="2" applyNumberFormat="1" applyFont="1" applyBorder="1" applyProtection="1">
      <protection locked="0"/>
    </xf>
    <xf numFmtId="49" fontId="6" fillId="0" borderId="19" xfId="0" applyNumberFormat="1" applyFont="1" applyBorder="1" applyAlignment="1">
      <alignment horizontal="left" wrapText="1"/>
    </xf>
    <xf numFmtId="49" fontId="16" fillId="0" borderId="19" xfId="0" applyNumberFormat="1" applyFont="1" applyBorder="1" applyAlignment="1">
      <alignment horizontal="right" wrapText="1"/>
    </xf>
    <xf numFmtId="4" fontId="16" fillId="3" borderId="1" xfId="1" applyNumberFormat="1" applyFont="1" applyFill="1" applyBorder="1"/>
    <xf numFmtId="4" fontId="13" fillId="3" borderId="1" xfId="1" applyNumberFormat="1" applyFont="1" applyFill="1" applyBorder="1"/>
    <xf numFmtId="49" fontId="15" fillId="0" borderId="18" xfId="0" applyNumberFormat="1" applyFont="1" applyBorder="1" applyAlignment="1">
      <alignment horizontal="left" wrapText="1"/>
    </xf>
    <xf numFmtId="49" fontId="5" fillId="0" borderId="20" xfId="0" applyNumberFormat="1" applyFont="1" applyBorder="1" applyAlignment="1">
      <alignment horizontal="left" wrapText="1"/>
    </xf>
    <xf numFmtId="49" fontId="5" fillId="0" borderId="21" xfId="0" applyNumberFormat="1" applyFont="1" applyBorder="1" applyAlignment="1">
      <alignment horizontal="left"/>
    </xf>
    <xf numFmtId="4" fontId="8" fillId="0" borderId="2" xfId="1" applyNumberFormat="1" applyFont="1" applyBorder="1"/>
    <xf numFmtId="4" fontId="8" fillId="0" borderId="22" xfId="1" applyNumberFormat="1" applyFont="1" applyBorder="1"/>
    <xf numFmtId="4" fontId="6" fillId="0" borderId="23" xfId="2" applyNumberFormat="1" applyFont="1" applyBorder="1" applyProtection="1">
      <protection locked="0"/>
    </xf>
    <xf numFmtId="49" fontId="13" fillId="0" borderId="7" xfId="0" applyNumberFormat="1" applyFont="1" applyBorder="1" applyAlignment="1">
      <alignment horizontal="left" wrapText="1"/>
    </xf>
    <xf numFmtId="49" fontId="13" fillId="0" borderId="8" xfId="0" applyNumberFormat="1" applyFont="1" applyBorder="1" applyAlignment="1">
      <alignment horizontal="left"/>
    </xf>
    <xf numFmtId="4" fontId="13" fillId="0" borderId="23" xfId="2" applyNumberFormat="1" applyFont="1" applyBorder="1" applyProtection="1">
      <protection locked="0"/>
    </xf>
    <xf numFmtId="49" fontId="11" fillId="0" borderId="8" xfId="0" applyNumberFormat="1" applyFont="1" applyBorder="1" applyAlignment="1">
      <alignment horizontal="left"/>
    </xf>
    <xf numFmtId="49" fontId="5" fillId="0" borderId="3" xfId="0" applyNumberFormat="1" applyFont="1" applyBorder="1" applyAlignment="1">
      <alignment horizontal="left" wrapText="1"/>
    </xf>
    <xf numFmtId="49" fontId="5" fillId="0" borderId="24" xfId="0" applyNumberFormat="1" applyFont="1" applyBorder="1" applyAlignment="1">
      <alignment horizontal="left" wrapText="1"/>
    </xf>
    <xf numFmtId="4" fontId="8" fillId="0" borderId="3" xfId="2" applyNumberFormat="1" applyFont="1" applyBorder="1" applyProtection="1">
      <protection locked="0"/>
    </xf>
    <xf numFmtId="4" fontId="8" fillId="0" borderId="0" xfId="2" applyNumberFormat="1" applyFont="1" applyProtection="1">
      <protection locked="0"/>
    </xf>
    <xf numFmtId="0" fontId="13" fillId="0" borderId="7" xfId="1" applyFont="1" applyBorder="1"/>
    <xf numFmtId="4" fontId="8" fillId="0" borderId="3" xfId="1" applyNumberFormat="1" applyFont="1" applyBorder="1"/>
    <xf numFmtId="4" fontId="8" fillId="0" borderId="0" xfId="1" applyNumberFormat="1" applyFont="1"/>
    <xf numFmtId="4" fontId="13" fillId="0" borderId="23" xfId="1" applyNumberFormat="1" applyFont="1" applyBorder="1"/>
    <xf numFmtId="4" fontId="13" fillId="0" borderId="7" xfId="1" applyNumberFormat="1" applyFont="1" applyBorder="1" applyProtection="1">
      <protection locked="0"/>
    </xf>
    <xf numFmtId="4" fontId="13" fillId="0" borderId="23" xfId="1" applyNumberFormat="1" applyFont="1" applyBorder="1" applyProtection="1">
      <protection locked="0"/>
    </xf>
    <xf numFmtId="49" fontId="12" fillId="0" borderId="8" xfId="0" applyNumberFormat="1" applyFont="1" applyBorder="1" applyAlignment="1">
      <alignment wrapText="1"/>
    </xf>
    <xf numFmtId="49" fontId="5" fillId="0" borderId="24" xfId="0" applyNumberFormat="1" applyFont="1" applyBorder="1" applyAlignment="1">
      <alignment horizontal="left"/>
    </xf>
    <xf numFmtId="49" fontId="10" fillId="0" borderId="8" xfId="0" applyNumberFormat="1" applyFont="1" applyBorder="1" applyAlignment="1">
      <alignment horizontal="left" wrapText="1"/>
    </xf>
    <xf numFmtId="49" fontId="10" fillId="0" borderId="8" xfId="0" applyNumberFormat="1" applyFont="1" applyBorder="1" applyAlignment="1">
      <alignment horizontal="left"/>
    </xf>
    <xf numFmtId="0" fontId="17" fillId="0" borderId="8" xfId="2" applyFont="1" applyBorder="1" applyAlignment="1">
      <alignment horizontal="left"/>
    </xf>
    <xf numFmtId="49" fontId="14" fillId="0" borderId="8" xfId="0" applyNumberFormat="1" applyFont="1" applyBorder="1" applyAlignment="1">
      <alignment horizontal="left"/>
    </xf>
    <xf numFmtId="49" fontId="6" fillId="0" borderId="11" xfId="0" applyNumberFormat="1" applyFont="1" applyBorder="1" applyAlignment="1">
      <alignment horizontal="left" wrapText="1"/>
    </xf>
    <xf numFmtId="49" fontId="12" fillId="0" borderId="25" xfId="0" applyNumberFormat="1" applyFont="1" applyBorder="1" applyAlignment="1">
      <alignment horizontal="left"/>
    </xf>
    <xf numFmtId="4" fontId="6" fillId="0" borderId="26" xfId="2" applyNumberFormat="1" applyFont="1" applyBorder="1" applyProtection="1">
      <protection locked="0"/>
    </xf>
    <xf numFmtId="0" fontId="2" fillId="0" borderId="0" xfId="0" applyFont="1"/>
    <xf numFmtId="0" fontId="18" fillId="0" borderId="0" xfId="0" applyFont="1"/>
    <xf numFmtId="4" fontId="1" fillId="0" borderId="0" xfId="0" applyNumberFormat="1" applyFont="1"/>
    <xf numFmtId="4" fontId="0" fillId="0" borderId="0" xfId="0" applyNumberFormat="1"/>
  </cellXfs>
  <cellStyles count="4">
    <cellStyle name="Normaallaad" xfId="0" builtinId="0"/>
    <cellStyle name="Normal" xfId="3" xr:uid="{5BFAD78C-4CDB-45AA-AEA9-151F50BFC2D3}"/>
    <cellStyle name="Normal 2" xfId="1" xr:uid="{7BE1FD71-D4C3-4D26-92F3-607F86CCCA8D}"/>
    <cellStyle name="Normal_Sheet1 2" xfId="2" xr:uid="{E5B02D4D-D321-41E7-B728-AD631B5C46F5}"/>
  </cellStyles>
  <dxfs count="3"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595D0-6C2D-4ECB-BD51-F234F9CA8302}">
  <dimension ref="A1:I153"/>
  <sheetViews>
    <sheetView tabSelected="1" topLeftCell="A36" workbookViewId="0">
      <selection activeCell="C54" sqref="C54"/>
    </sheetView>
  </sheetViews>
  <sheetFormatPr defaultRowHeight="14.5" x14ac:dyDescent="0.35"/>
  <cols>
    <col min="1" max="1" width="8" customWidth="1"/>
    <col min="2" max="2" width="36.453125" customWidth="1"/>
    <col min="3" max="3" width="15.453125" customWidth="1"/>
    <col min="4" max="4" width="15.7265625" customWidth="1"/>
    <col min="5" max="5" width="15.54296875" customWidth="1"/>
    <col min="6" max="7" width="19.54296875" customWidth="1"/>
    <col min="8" max="8" width="17" customWidth="1"/>
  </cols>
  <sheetData>
    <row r="1" spans="1:9" ht="15.75" customHeight="1" x14ac:dyDescent="0.35">
      <c r="D1" s="1"/>
      <c r="E1" s="1"/>
    </row>
    <row r="2" spans="1:9" ht="15.75" customHeight="1" x14ac:dyDescent="0.35">
      <c r="D2" s="1"/>
      <c r="E2" s="1"/>
      <c r="H2" s="1"/>
      <c r="I2" s="1"/>
    </row>
    <row r="3" spans="1:9" ht="15.75" customHeight="1" x14ac:dyDescent="0.35">
      <c r="D3" s="1"/>
      <c r="E3" s="1"/>
      <c r="H3" s="1"/>
      <c r="I3" s="1"/>
    </row>
    <row r="4" spans="1:9" ht="15.75" customHeight="1" thickBot="1" x14ac:dyDescent="0.4">
      <c r="A4" s="2" t="s">
        <v>0</v>
      </c>
      <c r="B4" s="3"/>
      <c r="C4" s="3"/>
      <c r="D4" s="1"/>
      <c r="E4" s="1"/>
      <c r="H4" s="1"/>
      <c r="I4" s="1"/>
    </row>
    <row r="5" spans="1:9" ht="43.5" customHeight="1" thickBot="1" x14ac:dyDescent="0.4">
      <c r="A5" s="3"/>
      <c r="B5" s="4"/>
      <c r="C5" s="5" t="s">
        <v>1</v>
      </c>
      <c r="D5" s="5" t="s">
        <v>2</v>
      </c>
      <c r="E5" s="6" t="s">
        <v>3</v>
      </c>
    </row>
    <row r="6" spans="1:9" ht="15.75" customHeight="1" thickBot="1" x14ac:dyDescent="0.4">
      <c r="A6" s="7"/>
      <c r="B6" s="8" t="s">
        <v>4</v>
      </c>
      <c r="C6" s="9">
        <f>C7+C14+C15+C19</f>
        <v>10357900</v>
      </c>
      <c r="D6" s="9">
        <f>D7+D14+D15+D19</f>
        <v>10018115.77</v>
      </c>
      <c r="E6" s="10">
        <f>E7+E14+E15+E19</f>
        <v>9640796.1099999994</v>
      </c>
    </row>
    <row r="7" spans="1:9" ht="15.75" customHeight="1" thickBot="1" x14ac:dyDescent="0.4">
      <c r="A7" s="11" t="s">
        <v>5</v>
      </c>
      <c r="B7" s="11" t="s">
        <v>6</v>
      </c>
      <c r="C7" s="12">
        <f>SUM(C8:C13)</f>
        <v>5726250</v>
      </c>
      <c r="D7" s="12">
        <f>SUM(D8:D13)</f>
        <v>5517450</v>
      </c>
      <c r="E7" s="13">
        <f>SUM(E8:E13)</f>
        <v>5241154</v>
      </c>
    </row>
    <row r="8" spans="1:9" ht="15.75" customHeight="1" x14ac:dyDescent="0.35">
      <c r="A8" s="14" t="s">
        <v>7</v>
      </c>
      <c r="B8" s="15" t="s">
        <v>8</v>
      </c>
      <c r="C8" s="16">
        <v>5421000</v>
      </c>
      <c r="D8" s="16">
        <v>5212000</v>
      </c>
      <c r="E8" s="16">
        <v>4942365.6500000004</v>
      </c>
    </row>
    <row r="9" spans="1:9" ht="15.75" customHeight="1" x14ac:dyDescent="0.35">
      <c r="A9" s="17" t="s">
        <v>9</v>
      </c>
      <c r="B9" s="18" t="s">
        <v>10</v>
      </c>
      <c r="C9" s="19">
        <v>305000</v>
      </c>
      <c r="D9" s="19">
        <v>305000</v>
      </c>
      <c r="E9" s="19">
        <v>298304.43</v>
      </c>
    </row>
    <row r="10" spans="1:9" ht="15.75" customHeight="1" x14ac:dyDescent="0.35">
      <c r="A10" s="17" t="s">
        <v>11</v>
      </c>
      <c r="B10" s="18" t="s">
        <v>12</v>
      </c>
      <c r="C10" s="20"/>
      <c r="D10" s="20"/>
      <c r="E10" s="20"/>
    </row>
    <row r="11" spans="1:9" ht="15.75" customHeight="1" x14ac:dyDescent="0.35">
      <c r="A11" s="17" t="s">
        <v>13</v>
      </c>
      <c r="B11" s="18" t="s">
        <v>14</v>
      </c>
      <c r="C11" s="19">
        <v>250</v>
      </c>
      <c r="D11" s="19">
        <v>450</v>
      </c>
      <c r="E11" s="19">
        <v>483.92</v>
      </c>
    </row>
    <row r="12" spans="1:9" ht="15.75" customHeight="1" x14ac:dyDescent="0.35">
      <c r="A12" s="17" t="s">
        <v>15</v>
      </c>
      <c r="B12" s="21" t="s">
        <v>16</v>
      </c>
      <c r="C12" s="20"/>
      <c r="D12" s="20"/>
      <c r="E12" s="20"/>
    </row>
    <row r="13" spans="1:9" ht="15.75" customHeight="1" thickBot="1" x14ac:dyDescent="0.4">
      <c r="A13" s="22" t="s">
        <v>17</v>
      </c>
      <c r="B13" s="23" t="s">
        <v>18</v>
      </c>
      <c r="C13" s="24"/>
      <c r="D13" s="24"/>
      <c r="E13" s="24"/>
    </row>
    <row r="14" spans="1:9" s="95" customFormat="1" ht="15.75" customHeight="1" thickBot="1" x14ac:dyDescent="0.4">
      <c r="A14" s="25" t="s">
        <v>19</v>
      </c>
      <c r="B14" s="26" t="s">
        <v>20</v>
      </c>
      <c r="C14" s="27">
        <v>478100</v>
      </c>
      <c r="D14" s="27">
        <v>490530</v>
      </c>
      <c r="E14" s="27">
        <v>478593.51</v>
      </c>
    </row>
    <row r="15" spans="1:9" ht="15.75" customHeight="1" thickBot="1" x14ac:dyDescent="0.4">
      <c r="A15" s="11"/>
      <c r="B15" s="28" t="s">
        <v>21</v>
      </c>
      <c r="C15" s="29">
        <f>C16+C17+C18</f>
        <v>4127550</v>
      </c>
      <c r="D15" s="29">
        <f>D16+D17+D18</f>
        <v>3934978.9699999997</v>
      </c>
      <c r="E15" s="30">
        <f>E16+E17+E18</f>
        <v>3895953.17</v>
      </c>
    </row>
    <row r="16" spans="1:9" ht="15.75" customHeight="1" x14ac:dyDescent="0.35">
      <c r="A16" s="14" t="s">
        <v>22</v>
      </c>
      <c r="B16" s="14" t="s">
        <v>23</v>
      </c>
      <c r="C16" s="31">
        <v>980000</v>
      </c>
      <c r="D16" s="31">
        <v>986961</v>
      </c>
      <c r="E16" s="31">
        <v>1092368</v>
      </c>
    </row>
    <row r="17" spans="1:5" ht="15.75" customHeight="1" x14ac:dyDescent="0.35">
      <c r="A17" s="17" t="s">
        <v>24</v>
      </c>
      <c r="B17" s="17" t="s">
        <v>25</v>
      </c>
      <c r="C17" s="20">
        <v>3048905</v>
      </c>
      <c r="D17" s="20">
        <v>2648212</v>
      </c>
      <c r="E17" s="20">
        <v>2415426</v>
      </c>
    </row>
    <row r="18" spans="1:5" ht="15.75" customHeight="1" thickBot="1" x14ac:dyDescent="0.4">
      <c r="A18" s="32" t="s">
        <v>26</v>
      </c>
      <c r="B18" s="33" t="s">
        <v>27</v>
      </c>
      <c r="C18" s="34">
        <v>98645</v>
      </c>
      <c r="D18" s="34">
        <f>279805.97+20000</f>
        <v>299805.96999999997</v>
      </c>
      <c r="E18" s="34">
        <f>360537.35+26560+1061.82</f>
        <v>388159.17</v>
      </c>
    </row>
    <row r="19" spans="1:5" ht="15.75" customHeight="1" thickBot="1" x14ac:dyDescent="0.4">
      <c r="A19" s="11"/>
      <c r="B19" s="11" t="s">
        <v>28</v>
      </c>
      <c r="C19" s="35">
        <f>SUM(C20:C23)</f>
        <v>26000</v>
      </c>
      <c r="D19" s="35">
        <f>SUM(D20:D23)</f>
        <v>75156.800000000003</v>
      </c>
      <c r="E19" s="35">
        <f>SUM(E20:E23)</f>
        <v>25095.43</v>
      </c>
    </row>
    <row r="20" spans="1:5" ht="15.75" customHeight="1" x14ac:dyDescent="0.35">
      <c r="A20" s="14" t="s">
        <v>29</v>
      </c>
      <c r="B20" s="14" t="s">
        <v>30</v>
      </c>
      <c r="C20" s="31"/>
      <c r="D20" s="31"/>
      <c r="E20" s="31"/>
    </row>
    <row r="21" spans="1:5" ht="15.75" customHeight="1" x14ac:dyDescent="0.35">
      <c r="A21" s="17" t="s">
        <v>31</v>
      </c>
      <c r="B21" s="36" t="s">
        <v>32</v>
      </c>
      <c r="C21" s="20">
        <v>18000</v>
      </c>
      <c r="D21" s="20">
        <v>19000</v>
      </c>
      <c r="E21" s="20">
        <v>18244.14</v>
      </c>
    </row>
    <row r="22" spans="1:5" ht="20.149999999999999" customHeight="1" x14ac:dyDescent="0.35">
      <c r="A22" s="17" t="s">
        <v>33</v>
      </c>
      <c r="B22" s="37" t="s">
        <v>34</v>
      </c>
      <c r="C22" s="20"/>
      <c r="D22" s="20"/>
      <c r="E22" s="20"/>
    </row>
    <row r="23" spans="1:5" ht="15.75" customHeight="1" thickBot="1" x14ac:dyDescent="0.4">
      <c r="A23" s="22" t="s">
        <v>35</v>
      </c>
      <c r="B23" s="22" t="s">
        <v>28</v>
      </c>
      <c r="C23" s="34">
        <v>8000</v>
      </c>
      <c r="D23" s="34">
        <v>56156.800000000003</v>
      </c>
      <c r="E23" s="20">
        <v>6851.29</v>
      </c>
    </row>
    <row r="24" spans="1:5" ht="15.75" customHeight="1" thickBot="1" x14ac:dyDescent="0.4">
      <c r="A24" s="11"/>
      <c r="B24" s="26" t="s">
        <v>36</v>
      </c>
      <c r="C24" s="38">
        <f>C25+C30</f>
        <v>9893352</v>
      </c>
      <c r="D24" s="38">
        <f>D25+D30</f>
        <v>9466190.9699999988</v>
      </c>
      <c r="E24" s="38">
        <f>E25+E30</f>
        <v>8686182.0899999999</v>
      </c>
    </row>
    <row r="25" spans="1:5" ht="15.75" customHeight="1" thickBot="1" x14ac:dyDescent="0.4">
      <c r="A25" s="11"/>
      <c r="B25" s="26" t="s">
        <v>37</v>
      </c>
      <c r="C25" s="38">
        <f>C26+C27+C28+C29</f>
        <v>803537</v>
      </c>
      <c r="D25" s="38">
        <f>D26+D27+D28+D29</f>
        <v>926149.78</v>
      </c>
      <c r="E25" s="38">
        <f>E26+E27+E28+E29</f>
        <v>629280.43999999994</v>
      </c>
    </row>
    <row r="26" spans="1:5" ht="15.75" customHeight="1" x14ac:dyDescent="0.35">
      <c r="A26" s="14" t="s">
        <v>38</v>
      </c>
      <c r="B26" s="39" t="s">
        <v>39</v>
      </c>
      <c r="C26" s="40"/>
      <c r="D26" s="40"/>
      <c r="E26" s="40"/>
    </row>
    <row r="27" spans="1:5" ht="15.75" customHeight="1" x14ac:dyDescent="0.35">
      <c r="A27" s="17" t="s">
        <v>40</v>
      </c>
      <c r="B27" s="41" t="s">
        <v>41</v>
      </c>
      <c r="C27" s="42">
        <v>493678</v>
      </c>
      <c r="D27" s="42">
        <v>601084.78</v>
      </c>
      <c r="E27" s="42">
        <v>305594.01</v>
      </c>
    </row>
    <row r="28" spans="1:5" ht="15.75" customHeight="1" x14ac:dyDescent="0.35">
      <c r="A28" s="17" t="s">
        <v>42</v>
      </c>
      <c r="B28" s="43" t="s">
        <v>43</v>
      </c>
      <c r="C28" s="42">
        <v>309859</v>
      </c>
      <c r="D28" s="42">
        <v>325065</v>
      </c>
      <c r="E28" s="42">
        <v>323686.43</v>
      </c>
    </row>
    <row r="29" spans="1:5" ht="15.75" customHeight="1" thickBot="1" x14ac:dyDescent="0.4">
      <c r="A29" s="22" t="s">
        <v>44</v>
      </c>
      <c r="B29" s="44" t="s">
        <v>45</v>
      </c>
      <c r="C29" s="45"/>
      <c r="D29" s="45"/>
      <c r="E29" s="45"/>
    </row>
    <row r="30" spans="1:5" ht="15.75" customHeight="1" thickBot="1" x14ac:dyDescent="0.4">
      <c r="A30" s="11"/>
      <c r="B30" s="25" t="s">
        <v>46</v>
      </c>
      <c r="C30" s="35">
        <f>C31+C32+C33</f>
        <v>9089815</v>
      </c>
      <c r="D30" s="35">
        <f>D31+D32+D33</f>
        <v>8540041.1899999995</v>
      </c>
      <c r="E30" s="35">
        <f>E31+E32+E33</f>
        <v>8056901.6500000004</v>
      </c>
    </row>
    <row r="31" spans="1:5" ht="15.75" customHeight="1" x14ac:dyDescent="0.35">
      <c r="A31" s="14" t="s">
        <v>47</v>
      </c>
      <c r="B31" s="15" t="s">
        <v>48</v>
      </c>
      <c r="C31" s="46">
        <v>5998218</v>
      </c>
      <c r="D31" s="46">
        <v>5405436.6299999999</v>
      </c>
      <c r="E31" s="46">
        <v>4844456.57</v>
      </c>
    </row>
    <row r="32" spans="1:5" ht="15.75" customHeight="1" x14ac:dyDescent="0.35">
      <c r="A32" s="17" t="s">
        <v>49</v>
      </c>
      <c r="B32" s="18" t="s">
        <v>50</v>
      </c>
      <c r="C32" s="19">
        <v>3051447</v>
      </c>
      <c r="D32" s="19">
        <v>3132742.8</v>
      </c>
      <c r="E32" s="19">
        <v>3200956.35</v>
      </c>
    </row>
    <row r="33" spans="1:5" ht="15.75" customHeight="1" thickBot="1" x14ac:dyDescent="0.4">
      <c r="A33" s="22" t="s">
        <v>51</v>
      </c>
      <c r="B33" s="23" t="s">
        <v>52</v>
      </c>
      <c r="C33" s="47">
        <v>40150</v>
      </c>
      <c r="D33" s="47">
        <v>1861.76</v>
      </c>
      <c r="E33" s="47">
        <v>11488.73</v>
      </c>
    </row>
    <row r="34" spans="1:5" s="96" customFormat="1" ht="15.75" customHeight="1" thickBot="1" x14ac:dyDescent="0.4">
      <c r="A34" s="48"/>
      <c r="B34" s="49" t="s">
        <v>53</v>
      </c>
      <c r="C34" s="50">
        <f>C6-C24</f>
        <v>464548</v>
      </c>
      <c r="D34" s="50">
        <f>D6-D24</f>
        <v>551924.80000000075</v>
      </c>
      <c r="E34" s="50">
        <f t="shared" ref="E34" si="0">E6-E24</f>
        <v>954614.01999999955</v>
      </c>
    </row>
    <row r="35" spans="1:5" ht="15.75" customHeight="1" thickBot="1" x14ac:dyDescent="0.4">
      <c r="A35" s="11"/>
      <c r="B35" s="51" t="s">
        <v>54</v>
      </c>
      <c r="C35" s="50">
        <f>C36-C37+C38-C39+C40-C41+C42-C43+C44-C45+C46-C47</f>
        <v>-1496020</v>
      </c>
      <c r="D35" s="50">
        <f>D36-D37+D38-D39+D40-D41+D42-D43+D44-D45+D46-D47</f>
        <v>-893564.8</v>
      </c>
      <c r="E35" s="50">
        <f>E36-E37+E38-E39+E40-E41+E42-E43+E44-E45+E46-E47</f>
        <v>-3447123.8</v>
      </c>
    </row>
    <row r="36" spans="1:5" ht="15.75" customHeight="1" x14ac:dyDescent="0.35">
      <c r="A36" s="14" t="s">
        <v>55</v>
      </c>
      <c r="B36" s="14" t="s">
        <v>56</v>
      </c>
      <c r="C36" s="31">
        <v>500000</v>
      </c>
      <c r="D36" s="31">
        <v>155000</v>
      </c>
      <c r="E36" s="31">
        <v>100430</v>
      </c>
    </row>
    <row r="37" spans="1:5" ht="15.75" customHeight="1" x14ac:dyDescent="0.35">
      <c r="A37" s="17" t="s">
        <v>57</v>
      </c>
      <c r="B37" s="17" t="s">
        <v>58</v>
      </c>
      <c r="C37" s="20">
        <v>1944700</v>
      </c>
      <c r="D37" s="20">
        <v>1090911.8</v>
      </c>
      <c r="E37" s="20">
        <v>2920441.76</v>
      </c>
    </row>
    <row r="38" spans="1:5" ht="15.75" customHeight="1" x14ac:dyDescent="0.35">
      <c r="A38" s="17" t="s">
        <v>59</v>
      </c>
      <c r="B38" s="36" t="s">
        <v>60</v>
      </c>
      <c r="C38" s="20">
        <v>791680</v>
      </c>
      <c r="D38" s="20">
        <v>290606</v>
      </c>
      <c r="E38" s="20">
        <v>1278549.78</v>
      </c>
    </row>
    <row r="39" spans="1:5" ht="15.75" customHeight="1" x14ac:dyDescent="0.35">
      <c r="A39" s="17" t="s">
        <v>61</v>
      </c>
      <c r="B39" s="36" t="s">
        <v>62</v>
      </c>
      <c r="C39" s="20">
        <v>765000</v>
      </c>
      <c r="D39" s="20">
        <v>198099</v>
      </c>
      <c r="E39" s="20">
        <v>1871772.47</v>
      </c>
    </row>
    <row r="40" spans="1:5" ht="15.75" customHeight="1" x14ac:dyDescent="0.35">
      <c r="A40" s="17" t="s">
        <v>63</v>
      </c>
      <c r="B40" s="17" t="s">
        <v>64</v>
      </c>
      <c r="C40" s="52"/>
      <c r="D40" s="52"/>
      <c r="E40" s="52"/>
    </row>
    <row r="41" spans="1:5" ht="15.75" customHeight="1" x14ac:dyDescent="0.35">
      <c r="A41" s="17" t="s">
        <v>65</v>
      </c>
      <c r="B41" s="17" t="s">
        <v>66</v>
      </c>
      <c r="C41" s="52"/>
      <c r="D41" s="52"/>
      <c r="E41" s="52"/>
    </row>
    <row r="42" spans="1:5" ht="15.75" customHeight="1" x14ac:dyDescent="0.35">
      <c r="A42" s="17" t="s">
        <v>67</v>
      </c>
      <c r="B42" s="36" t="s">
        <v>68</v>
      </c>
      <c r="C42" s="52"/>
      <c r="D42" s="52"/>
      <c r="E42" s="52"/>
    </row>
    <row r="43" spans="1:5" ht="15.75" customHeight="1" x14ac:dyDescent="0.35">
      <c r="A43" s="17" t="s">
        <v>69</v>
      </c>
      <c r="B43" s="36" t="s">
        <v>70</v>
      </c>
      <c r="C43" s="52"/>
      <c r="D43" s="52"/>
      <c r="E43" s="52"/>
    </row>
    <row r="44" spans="1:5" ht="15.75" customHeight="1" x14ac:dyDescent="0.35">
      <c r="A44" s="17" t="s">
        <v>71</v>
      </c>
      <c r="B44" s="17" t="s">
        <v>72</v>
      </c>
      <c r="C44" s="53"/>
      <c r="D44" s="53"/>
      <c r="E44" s="53"/>
    </row>
    <row r="45" spans="1:5" ht="15.75" customHeight="1" x14ac:dyDescent="0.35">
      <c r="A45" s="17" t="s">
        <v>73</v>
      </c>
      <c r="B45" s="17" t="s">
        <v>74</v>
      </c>
      <c r="C45" s="52"/>
      <c r="D45" s="52"/>
      <c r="E45" s="52"/>
    </row>
    <row r="46" spans="1:5" ht="15.75" customHeight="1" x14ac:dyDescent="0.35">
      <c r="A46" s="17" t="s">
        <v>75</v>
      </c>
      <c r="B46" s="17" t="s">
        <v>76</v>
      </c>
      <c r="C46" s="52"/>
      <c r="D46" s="52"/>
      <c r="E46" s="52"/>
    </row>
    <row r="47" spans="1:5" ht="15.75" customHeight="1" thickBot="1" x14ac:dyDescent="0.4">
      <c r="A47" s="22" t="s">
        <v>77</v>
      </c>
      <c r="B47" s="22" t="s">
        <v>78</v>
      </c>
      <c r="C47" s="34">
        <v>78000</v>
      </c>
      <c r="D47" s="34">
        <v>50160</v>
      </c>
      <c r="E47" s="34">
        <v>33889.35</v>
      </c>
    </row>
    <row r="48" spans="1:5" ht="27.75" customHeight="1" thickBot="1" x14ac:dyDescent="0.4">
      <c r="A48" s="11"/>
      <c r="B48" s="54" t="s">
        <v>79</v>
      </c>
      <c r="C48" s="50">
        <f>C34+C35</f>
        <v>-1031472</v>
      </c>
      <c r="D48" s="50">
        <f>D34+D35</f>
        <v>-341639.9999999993</v>
      </c>
      <c r="E48" s="50">
        <f>E34+E35</f>
        <v>-2492509.7800000003</v>
      </c>
    </row>
    <row r="49" spans="1:8" ht="15.75" customHeight="1" thickBot="1" x14ac:dyDescent="0.4">
      <c r="A49" s="11"/>
      <c r="B49" s="26" t="s">
        <v>80</v>
      </c>
      <c r="C49" s="50">
        <f>C50+C51</f>
        <v>1034900</v>
      </c>
      <c r="D49" s="50">
        <f>D50+D51</f>
        <v>-65078</v>
      </c>
      <c r="E49" s="50">
        <f>E50+E51</f>
        <v>2669036.4300000002</v>
      </c>
    </row>
    <row r="50" spans="1:8" ht="15.75" customHeight="1" x14ac:dyDescent="0.35">
      <c r="A50" s="14" t="s">
        <v>81</v>
      </c>
      <c r="B50" s="14" t="s">
        <v>82</v>
      </c>
      <c r="C50" s="55">
        <v>1450000</v>
      </c>
      <c r="D50" s="55">
        <v>350000</v>
      </c>
      <c r="E50" s="55">
        <v>2980000</v>
      </c>
    </row>
    <row r="51" spans="1:8" ht="15.75" customHeight="1" x14ac:dyDescent="0.35">
      <c r="A51" s="17" t="s">
        <v>83</v>
      </c>
      <c r="B51" s="17" t="s">
        <v>84</v>
      </c>
      <c r="C51" s="20">
        <v>-415100</v>
      </c>
      <c r="D51" s="20">
        <v>-415078</v>
      </c>
      <c r="E51" s="20">
        <v>-310963.57</v>
      </c>
    </row>
    <row r="52" spans="1:8" ht="15.75" customHeight="1" thickBot="1" x14ac:dyDescent="0.4">
      <c r="A52" s="56" t="s">
        <v>85</v>
      </c>
      <c r="B52" s="57" t="s">
        <v>86</v>
      </c>
      <c r="C52" s="58">
        <v>0</v>
      </c>
      <c r="D52" s="58">
        <v>-264128.40999999997</v>
      </c>
      <c r="E52" s="58">
        <v>-507875.82</v>
      </c>
    </row>
    <row r="53" spans="1:8" ht="15.75" customHeight="1" thickBot="1" x14ac:dyDescent="0.4">
      <c r="A53" s="59"/>
      <c r="B53" s="60" t="s">
        <v>87</v>
      </c>
      <c r="C53" s="58">
        <v>-125000</v>
      </c>
      <c r="D53" s="58">
        <v>142589.59</v>
      </c>
      <c r="E53" s="61">
        <v>-684402.47</v>
      </c>
    </row>
    <row r="54" spans="1:8" ht="15.75" customHeight="1" thickBot="1" x14ac:dyDescent="0.4">
      <c r="A54" s="62"/>
      <c r="B54" s="63"/>
      <c r="C54" s="64">
        <f>C48+C49-C52+C53</f>
        <v>-121572</v>
      </c>
      <c r="D54" s="65">
        <f>D48+D49-D52+D53</f>
        <v>6.6938810050487518E-10</v>
      </c>
      <c r="E54" s="65">
        <f>E48+E49-E52+E53</f>
        <v>0</v>
      </c>
    </row>
    <row r="55" spans="1:8" ht="48.65" customHeight="1" thickBot="1" x14ac:dyDescent="0.4">
      <c r="A55" s="59"/>
      <c r="B55" s="66" t="s">
        <v>88</v>
      </c>
      <c r="C55" s="30">
        <f>C56+C63+C65+C69+C86+C93+C100+C107+C125+C138</f>
        <v>12681052</v>
      </c>
      <c r="D55" s="30">
        <f>D56+D63+D65+D69+D86+D93+D100+D107+D125+D138</f>
        <v>10805361.77</v>
      </c>
      <c r="E55" s="35">
        <f>E56+E63+E65+E69+E86+E93+E100+E107+E125+E138</f>
        <v>13513347.490000002</v>
      </c>
      <c r="F55" s="97"/>
      <c r="G55" s="97"/>
      <c r="H55" s="97"/>
    </row>
    <row r="56" spans="1:8" ht="15.75" customHeight="1" x14ac:dyDescent="0.35">
      <c r="A56" s="67" t="s">
        <v>89</v>
      </c>
      <c r="B56" s="68" t="s">
        <v>90</v>
      </c>
      <c r="C56" s="69">
        <f>SUM(C57:C62)</f>
        <v>1114464</v>
      </c>
      <c r="D56" s="70">
        <f>SUM(D57:D62)</f>
        <v>1009616.89</v>
      </c>
      <c r="E56" s="69">
        <f>SUM(E57:E62)</f>
        <v>929091.21000000008</v>
      </c>
      <c r="F56" s="97"/>
      <c r="G56" s="97"/>
      <c r="H56" s="98"/>
    </row>
    <row r="57" spans="1:8" ht="15.75" customHeight="1" x14ac:dyDescent="0.35">
      <c r="A57" s="17" t="s">
        <v>91</v>
      </c>
      <c r="B57" s="18" t="s">
        <v>92</v>
      </c>
      <c r="C57" s="20">
        <v>97424</v>
      </c>
      <c r="D57" s="71">
        <v>97924</v>
      </c>
      <c r="E57" s="20">
        <v>64947.93</v>
      </c>
    </row>
    <row r="58" spans="1:8" ht="15.75" customHeight="1" x14ac:dyDescent="0.35">
      <c r="A58" s="17" t="s">
        <v>93</v>
      </c>
      <c r="B58" s="21" t="s">
        <v>94</v>
      </c>
      <c r="C58" s="20">
        <v>720040</v>
      </c>
      <c r="D58" s="71">
        <f>674919.13+25000</f>
        <v>699919.13</v>
      </c>
      <c r="E58" s="20">
        <f>640880.74+20692.04</f>
        <v>661572.78</v>
      </c>
    </row>
    <row r="59" spans="1:8" ht="15.75" customHeight="1" x14ac:dyDescent="0.35">
      <c r="A59" s="17" t="s">
        <v>95</v>
      </c>
      <c r="B59" s="21" t="s">
        <v>96</v>
      </c>
      <c r="C59" s="20">
        <v>40000</v>
      </c>
      <c r="D59" s="71">
        <v>1591.76</v>
      </c>
      <c r="E59" s="20"/>
    </row>
    <row r="60" spans="1:8" ht="15.75" customHeight="1" x14ac:dyDescent="0.35">
      <c r="A60" s="17" t="s">
        <v>97</v>
      </c>
      <c r="B60" s="21" t="s">
        <v>98</v>
      </c>
      <c r="C60" s="20">
        <f>12000+100000</f>
        <v>112000</v>
      </c>
      <c r="D60" s="71">
        <f>12800+80000</f>
        <v>92800</v>
      </c>
      <c r="E60" s="20">
        <f>36065.55+66000</f>
        <v>102065.55</v>
      </c>
    </row>
    <row r="61" spans="1:8" s="96" customFormat="1" ht="15.75" customHeight="1" x14ac:dyDescent="0.35">
      <c r="A61" s="72" t="s">
        <v>99</v>
      </c>
      <c r="B61" s="73" t="s">
        <v>100</v>
      </c>
      <c r="C61" s="53">
        <v>78000</v>
      </c>
      <c r="D61" s="74">
        <v>50160</v>
      </c>
      <c r="E61" s="53">
        <v>33889.35</v>
      </c>
    </row>
    <row r="62" spans="1:8" ht="15.75" customHeight="1" x14ac:dyDescent="0.35">
      <c r="A62" s="17"/>
      <c r="B62" s="75" t="s">
        <v>101</v>
      </c>
      <c r="C62" s="20">
        <v>67000</v>
      </c>
      <c r="D62" s="71">
        <v>67222</v>
      </c>
      <c r="E62" s="20">
        <v>66615.600000000006</v>
      </c>
    </row>
    <row r="63" spans="1:8" ht="15.75" customHeight="1" x14ac:dyDescent="0.35">
      <c r="A63" s="76" t="s">
        <v>102</v>
      </c>
      <c r="B63" s="77" t="s">
        <v>103</v>
      </c>
      <c r="C63" s="78">
        <f>C64</f>
        <v>0</v>
      </c>
      <c r="D63" s="79">
        <f>D64</f>
        <v>10000</v>
      </c>
      <c r="E63" s="78">
        <f>E64</f>
        <v>0</v>
      </c>
    </row>
    <row r="64" spans="1:8" ht="15.75" customHeight="1" x14ac:dyDescent="0.35">
      <c r="A64" s="17" t="s">
        <v>104</v>
      </c>
      <c r="B64" s="18" t="s">
        <v>105</v>
      </c>
      <c r="C64" s="53"/>
      <c r="D64" s="74">
        <v>10000</v>
      </c>
      <c r="E64" s="80"/>
    </row>
    <row r="65" spans="1:5" ht="15.75" customHeight="1" x14ac:dyDescent="0.35">
      <c r="A65" s="76" t="s">
        <v>106</v>
      </c>
      <c r="B65" s="77" t="s">
        <v>107</v>
      </c>
      <c r="C65" s="81">
        <f>SUM(C66:C68)</f>
        <v>28794</v>
      </c>
      <c r="D65" s="82">
        <f>SUM(D66:D68)</f>
        <v>29394</v>
      </c>
      <c r="E65" s="81">
        <f>SUM(E66:E68)</f>
        <v>26225.170000000002</v>
      </c>
    </row>
    <row r="66" spans="1:5" ht="15.75" customHeight="1" x14ac:dyDescent="0.35">
      <c r="A66" s="17" t="s">
        <v>108</v>
      </c>
      <c r="B66" s="18" t="s">
        <v>109</v>
      </c>
      <c r="C66" s="20">
        <v>2194</v>
      </c>
      <c r="D66" s="71">
        <v>2194</v>
      </c>
      <c r="E66" s="20">
        <v>2192.79</v>
      </c>
    </row>
    <row r="67" spans="1:5" ht="15.75" customHeight="1" x14ac:dyDescent="0.35">
      <c r="A67" s="17" t="s">
        <v>110</v>
      </c>
      <c r="B67" s="18" t="s">
        <v>111</v>
      </c>
      <c r="C67" s="20">
        <v>26600</v>
      </c>
      <c r="D67" s="71">
        <v>27200</v>
      </c>
      <c r="E67" s="20">
        <v>24032.38</v>
      </c>
    </row>
    <row r="68" spans="1:5" ht="15.75" customHeight="1" x14ac:dyDescent="0.35">
      <c r="A68" s="17"/>
      <c r="B68" s="18" t="s">
        <v>112</v>
      </c>
      <c r="C68" s="20"/>
      <c r="D68" s="71"/>
      <c r="E68" s="20"/>
    </row>
    <row r="69" spans="1:5" ht="15.75" customHeight="1" x14ac:dyDescent="0.35">
      <c r="A69" s="76" t="s">
        <v>113</v>
      </c>
      <c r="B69" s="77" t="s">
        <v>114</v>
      </c>
      <c r="C69" s="81">
        <f>SUM(C70:C85)</f>
        <v>1323372</v>
      </c>
      <c r="D69" s="82">
        <f>SUM(D70:D85)</f>
        <v>1337919</v>
      </c>
      <c r="E69" s="81">
        <f>SUM(E70:E85)</f>
        <v>2853848.23</v>
      </c>
    </row>
    <row r="70" spans="1:5" ht="15.75" customHeight="1" x14ac:dyDescent="0.35">
      <c r="A70" s="17" t="s">
        <v>115</v>
      </c>
      <c r="B70" s="41" t="s">
        <v>116</v>
      </c>
      <c r="C70" s="52"/>
      <c r="D70" s="83"/>
      <c r="E70" s="52"/>
    </row>
    <row r="71" spans="1:5" ht="15.75" customHeight="1" x14ac:dyDescent="0.35">
      <c r="A71" s="17" t="s">
        <v>117</v>
      </c>
      <c r="B71" s="41" t="s">
        <v>118</v>
      </c>
      <c r="C71" s="20"/>
      <c r="D71" s="71"/>
      <c r="E71" s="20"/>
    </row>
    <row r="72" spans="1:5" ht="15.75" customHeight="1" x14ac:dyDescent="0.35">
      <c r="A72" s="17" t="s">
        <v>119</v>
      </c>
      <c r="B72" s="41" t="s">
        <v>120</v>
      </c>
      <c r="C72" s="84"/>
      <c r="D72" s="85"/>
      <c r="E72" s="84"/>
    </row>
    <row r="73" spans="1:5" ht="15.75" customHeight="1" x14ac:dyDescent="0.35">
      <c r="A73" s="17" t="s">
        <v>121</v>
      </c>
      <c r="B73" s="41" t="s">
        <v>122</v>
      </c>
      <c r="C73" s="84"/>
      <c r="D73" s="85"/>
      <c r="E73" s="84"/>
    </row>
    <row r="74" spans="1:5" ht="15.75" customHeight="1" x14ac:dyDescent="0.35">
      <c r="A74" s="17" t="s">
        <v>123</v>
      </c>
      <c r="B74" s="43" t="s">
        <v>124</v>
      </c>
      <c r="C74" s="20">
        <v>12000</v>
      </c>
      <c r="D74" s="71">
        <v>12000</v>
      </c>
      <c r="E74" s="20">
        <v>11130</v>
      </c>
    </row>
    <row r="75" spans="1:5" ht="15.75" customHeight="1" x14ac:dyDescent="0.35">
      <c r="A75" s="17" t="s">
        <v>125</v>
      </c>
      <c r="B75" s="43" t="s">
        <v>126</v>
      </c>
      <c r="C75" s="20">
        <v>42400</v>
      </c>
      <c r="D75" s="71">
        <v>24470</v>
      </c>
      <c r="E75" s="20">
        <v>24771.08</v>
      </c>
    </row>
    <row r="76" spans="1:5" ht="15.75" customHeight="1" x14ac:dyDescent="0.35">
      <c r="A76" s="17" t="s">
        <v>127</v>
      </c>
      <c r="B76" s="86" t="s">
        <v>128</v>
      </c>
      <c r="C76" s="20">
        <v>290000</v>
      </c>
      <c r="D76" s="71">
        <f>138000+181000</f>
        <v>319000</v>
      </c>
      <c r="E76" s="20">
        <f>159306.35+387379.97</f>
        <v>546686.31999999995</v>
      </c>
    </row>
    <row r="77" spans="1:5" ht="15.75" customHeight="1" x14ac:dyDescent="0.35">
      <c r="A77" s="17" t="s">
        <v>129</v>
      </c>
      <c r="B77" s="43" t="s">
        <v>130</v>
      </c>
      <c r="C77" s="20"/>
      <c r="D77" s="71"/>
      <c r="E77" s="20"/>
    </row>
    <row r="78" spans="1:5" ht="15.75" customHeight="1" x14ac:dyDescent="0.35">
      <c r="A78" s="17" t="s">
        <v>131</v>
      </c>
      <c r="B78" s="43" t="s">
        <v>132</v>
      </c>
      <c r="C78" s="84"/>
      <c r="D78" s="85"/>
      <c r="E78" s="84"/>
    </row>
    <row r="79" spans="1:5" ht="15.75" customHeight="1" x14ac:dyDescent="0.35">
      <c r="A79" s="17" t="s">
        <v>133</v>
      </c>
      <c r="B79" s="43" t="s">
        <v>134</v>
      </c>
      <c r="C79" s="84"/>
      <c r="D79" s="85"/>
      <c r="E79" s="84"/>
    </row>
    <row r="80" spans="1:5" ht="15.75" customHeight="1" x14ac:dyDescent="0.35">
      <c r="A80" s="17" t="s">
        <v>135</v>
      </c>
      <c r="B80" s="43" t="s">
        <v>136</v>
      </c>
      <c r="C80" s="84"/>
      <c r="D80" s="85"/>
      <c r="E80" s="84"/>
    </row>
    <row r="81" spans="1:6" ht="15.75" customHeight="1" x14ac:dyDescent="0.35">
      <c r="A81" s="17" t="s">
        <v>137</v>
      </c>
      <c r="B81" s="43" t="s">
        <v>138</v>
      </c>
      <c r="C81" s="20">
        <v>27620</v>
      </c>
      <c r="D81" s="71">
        <v>40792</v>
      </c>
      <c r="E81" s="20">
        <v>51730.34</v>
      </c>
    </row>
    <row r="82" spans="1:6" ht="15.75" customHeight="1" x14ac:dyDescent="0.35">
      <c r="A82" s="17" t="s">
        <v>139</v>
      </c>
      <c r="B82" s="43" t="s">
        <v>140</v>
      </c>
      <c r="C82" s="20">
        <v>2000</v>
      </c>
      <c r="D82" s="71">
        <v>1650</v>
      </c>
      <c r="E82" s="20">
        <v>987.76</v>
      </c>
    </row>
    <row r="83" spans="1:6" ht="15.75" customHeight="1" x14ac:dyDescent="0.35">
      <c r="A83" s="17" t="s">
        <v>141</v>
      </c>
      <c r="B83" s="43" t="s">
        <v>142</v>
      </c>
      <c r="C83" s="20">
        <v>779370</v>
      </c>
      <c r="D83" s="71">
        <f>106000+676654</f>
        <v>782654</v>
      </c>
      <c r="E83" s="20">
        <f>254227.59+1819852.21</f>
        <v>2074079.8</v>
      </c>
    </row>
    <row r="84" spans="1:6" ht="15.75" customHeight="1" x14ac:dyDescent="0.35">
      <c r="A84" s="17" t="s">
        <v>143</v>
      </c>
      <c r="B84" s="41" t="s">
        <v>144</v>
      </c>
      <c r="C84" s="20">
        <v>169982</v>
      </c>
      <c r="D84" s="71">
        <f>157353</f>
        <v>157353</v>
      </c>
      <c r="E84" s="20">
        <v>144462.93</v>
      </c>
    </row>
    <row r="85" spans="1:6" ht="15.75" customHeight="1" x14ac:dyDescent="0.35">
      <c r="A85" s="17"/>
      <c r="B85" s="43" t="s">
        <v>145</v>
      </c>
      <c r="C85" s="20"/>
      <c r="D85" s="71"/>
      <c r="E85" s="20"/>
    </row>
    <row r="86" spans="1:6" ht="15.75" customHeight="1" x14ac:dyDescent="0.35">
      <c r="A86" s="76" t="s">
        <v>146</v>
      </c>
      <c r="B86" s="77" t="s">
        <v>147</v>
      </c>
      <c r="C86" s="81">
        <f>SUM(C87:C92)</f>
        <v>607533</v>
      </c>
      <c r="D86" s="82">
        <f>SUM(D87:D92)</f>
        <v>585985</v>
      </c>
      <c r="E86" s="81">
        <f>SUM(E87:E92)</f>
        <v>595227.77999999991</v>
      </c>
    </row>
    <row r="87" spans="1:6" ht="15.75" customHeight="1" x14ac:dyDescent="0.35">
      <c r="A87" s="17" t="s">
        <v>148</v>
      </c>
      <c r="B87" s="43" t="s">
        <v>149</v>
      </c>
      <c r="C87" s="20">
        <v>31563</v>
      </c>
      <c r="D87" s="71">
        <v>97109</v>
      </c>
      <c r="E87" s="20">
        <v>96306.06</v>
      </c>
      <c r="F87" s="98"/>
    </row>
    <row r="88" spans="1:6" ht="15.75" customHeight="1" x14ac:dyDescent="0.35">
      <c r="A88" s="17" t="s">
        <v>150</v>
      </c>
      <c r="B88" s="43" t="s">
        <v>151</v>
      </c>
      <c r="C88" s="20">
        <v>202500</v>
      </c>
      <c r="D88" s="71">
        <v>135000</v>
      </c>
      <c r="E88" s="20">
        <v>213854.04</v>
      </c>
    </row>
    <row r="89" spans="1:6" ht="15.75" customHeight="1" x14ac:dyDescent="0.35">
      <c r="A89" s="17" t="s">
        <v>152</v>
      </c>
      <c r="B89" s="43" t="s">
        <v>153</v>
      </c>
      <c r="C89" s="20">
        <f>250+25000</f>
        <v>25250</v>
      </c>
      <c r="D89" s="71">
        <f>300+20000+21000</f>
        <v>41300</v>
      </c>
      <c r="E89" s="20">
        <f>236.46+38087.66</f>
        <v>38324.120000000003</v>
      </c>
    </row>
    <row r="90" spans="1:6" ht="15.75" customHeight="1" x14ac:dyDescent="0.35">
      <c r="A90" s="17" t="s">
        <v>154</v>
      </c>
      <c r="B90" s="43" t="s">
        <v>155</v>
      </c>
      <c r="C90" s="20">
        <f>3000</f>
        <v>3000</v>
      </c>
      <c r="D90" s="71">
        <v>20000</v>
      </c>
      <c r="E90" s="20">
        <v>18678.72</v>
      </c>
    </row>
    <row r="91" spans="1:6" ht="15.75" customHeight="1" x14ac:dyDescent="0.35">
      <c r="A91" s="17" t="s">
        <v>156</v>
      </c>
      <c r="B91" s="41" t="s">
        <v>157</v>
      </c>
      <c r="C91" s="20">
        <v>345220</v>
      </c>
      <c r="D91" s="71">
        <v>292576</v>
      </c>
      <c r="E91" s="20">
        <v>228064.84</v>
      </c>
    </row>
    <row r="92" spans="1:6" ht="15.75" customHeight="1" x14ac:dyDescent="0.35">
      <c r="A92" s="17"/>
      <c r="B92" s="43" t="s">
        <v>158</v>
      </c>
      <c r="C92" s="20"/>
      <c r="D92" s="71"/>
      <c r="E92" s="20"/>
    </row>
    <row r="93" spans="1:6" ht="15.75" customHeight="1" x14ac:dyDescent="0.35">
      <c r="A93" s="76" t="s">
        <v>159</v>
      </c>
      <c r="B93" s="87" t="s">
        <v>160</v>
      </c>
      <c r="C93" s="81">
        <f>SUM(C94:C99)</f>
        <v>189241</v>
      </c>
      <c r="D93" s="82">
        <f>SUM(D94:D99)</f>
        <v>222551</v>
      </c>
      <c r="E93" s="81">
        <f>SUM(E94:E99)</f>
        <v>1199348.4000000001</v>
      </c>
    </row>
    <row r="94" spans="1:6" ht="15.75" customHeight="1" x14ac:dyDescent="0.35">
      <c r="A94" s="17" t="s">
        <v>161</v>
      </c>
      <c r="B94" s="41" t="s">
        <v>162</v>
      </c>
      <c r="C94" s="20">
        <f>44100+12000</f>
        <v>56100</v>
      </c>
      <c r="D94" s="71">
        <f>44100+8000</f>
        <v>52100</v>
      </c>
      <c r="E94" s="20">
        <v>47626.79</v>
      </c>
    </row>
    <row r="95" spans="1:6" ht="15.75" customHeight="1" x14ac:dyDescent="0.35">
      <c r="A95" s="17" t="s">
        <v>163</v>
      </c>
      <c r="B95" s="41" t="s">
        <v>164</v>
      </c>
      <c r="C95" s="20"/>
      <c r="D95" s="71"/>
      <c r="E95" s="20"/>
    </row>
    <row r="96" spans="1:6" ht="15.75" customHeight="1" x14ac:dyDescent="0.35">
      <c r="A96" s="17" t="s">
        <v>165</v>
      </c>
      <c r="B96" s="41" t="s">
        <v>166</v>
      </c>
      <c r="C96" s="20">
        <v>20000</v>
      </c>
      <c r="D96" s="71">
        <v>45000</v>
      </c>
      <c r="E96" s="20">
        <v>58171.93</v>
      </c>
    </row>
    <row r="97" spans="1:6" ht="15.75" customHeight="1" x14ac:dyDescent="0.35">
      <c r="A97" s="17" t="s">
        <v>167</v>
      </c>
      <c r="B97" s="41" t="s">
        <v>168</v>
      </c>
      <c r="C97" s="20">
        <v>57000</v>
      </c>
      <c r="D97" s="71">
        <f>62000+10000</f>
        <v>72000</v>
      </c>
      <c r="E97" s="20">
        <f>57970.78+952394.81</f>
        <v>1010365.5900000001</v>
      </c>
    </row>
    <row r="98" spans="1:6" ht="15.75" customHeight="1" x14ac:dyDescent="0.35">
      <c r="A98" s="17" t="s">
        <v>169</v>
      </c>
      <c r="B98" s="41" t="s">
        <v>170</v>
      </c>
      <c r="C98" s="20">
        <v>56141</v>
      </c>
      <c r="D98" s="71">
        <v>53451</v>
      </c>
      <c r="E98" s="20">
        <f>41840.73+41343.36</f>
        <v>83184.09</v>
      </c>
    </row>
    <row r="99" spans="1:6" ht="15.75" customHeight="1" x14ac:dyDescent="0.35">
      <c r="A99" s="17"/>
      <c r="B99" s="41" t="s">
        <v>171</v>
      </c>
      <c r="C99" s="20"/>
      <c r="D99" s="71"/>
      <c r="E99" s="20"/>
    </row>
    <row r="100" spans="1:6" ht="15.75" customHeight="1" x14ac:dyDescent="0.35">
      <c r="A100" s="76" t="s">
        <v>172</v>
      </c>
      <c r="B100" s="77" t="s">
        <v>173</v>
      </c>
      <c r="C100" s="81">
        <f>SUM(C101:C106)</f>
        <v>602850</v>
      </c>
      <c r="D100" s="82">
        <f>SUM(D101:D106)</f>
        <v>13800</v>
      </c>
      <c r="E100" s="81">
        <f>SUM(E101:E106)</f>
        <v>14913.54</v>
      </c>
    </row>
    <row r="101" spans="1:6" ht="15.75" customHeight="1" x14ac:dyDescent="0.35">
      <c r="A101" s="17" t="s">
        <v>174</v>
      </c>
      <c r="B101" s="88" t="s">
        <v>175</v>
      </c>
      <c r="C101" s="84"/>
      <c r="D101" s="85"/>
      <c r="E101" s="84"/>
    </row>
    <row r="102" spans="1:6" ht="15.75" customHeight="1" x14ac:dyDescent="0.35">
      <c r="A102" s="17" t="s">
        <v>176</v>
      </c>
      <c r="B102" s="88" t="s">
        <v>177</v>
      </c>
      <c r="C102" s="84"/>
      <c r="D102" s="85"/>
      <c r="E102" s="84"/>
    </row>
    <row r="103" spans="1:6" ht="15.75" customHeight="1" x14ac:dyDescent="0.35">
      <c r="A103" s="17" t="s">
        <v>178</v>
      </c>
      <c r="B103" s="88" t="s">
        <v>179</v>
      </c>
      <c r="C103" s="84"/>
      <c r="D103" s="85"/>
      <c r="E103" s="84"/>
    </row>
    <row r="104" spans="1:6" ht="15.75" customHeight="1" x14ac:dyDescent="0.35">
      <c r="A104" s="17" t="s">
        <v>180</v>
      </c>
      <c r="B104" s="88" t="s">
        <v>181</v>
      </c>
      <c r="C104" s="84"/>
      <c r="D104" s="85"/>
      <c r="E104" s="84"/>
    </row>
    <row r="105" spans="1:6" ht="15.75" customHeight="1" x14ac:dyDescent="0.35">
      <c r="A105" s="17" t="s">
        <v>182</v>
      </c>
      <c r="B105" s="89" t="s">
        <v>183</v>
      </c>
      <c r="C105" s="84">
        <v>600000</v>
      </c>
      <c r="D105" s="85"/>
      <c r="E105" s="84"/>
    </row>
    <row r="106" spans="1:6" ht="15.75" customHeight="1" x14ac:dyDescent="0.35">
      <c r="A106" s="17"/>
      <c r="B106" s="89" t="s">
        <v>184</v>
      </c>
      <c r="C106" s="20">
        <v>2850</v>
      </c>
      <c r="D106" s="71">
        <v>13800</v>
      </c>
      <c r="E106" s="20">
        <v>14913.54</v>
      </c>
    </row>
    <row r="107" spans="1:6" ht="15.75" customHeight="1" x14ac:dyDescent="0.35">
      <c r="A107" s="76" t="s">
        <v>185</v>
      </c>
      <c r="B107" s="87" t="s">
        <v>186</v>
      </c>
      <c r="C107" s="81">
        <f>SUM(C108:C124)</f>
        <v>1090058</v>
      </c>
      <c r="D107" s="82">
        <f>SUM(D108:D124)</f>
        <v>1111608.3900000001</v>
      </c>
      <c r="E107" s="81">
        <f>SUM(E108:E124)</f>
        <v>1232481.9499999997</v>
      </c>
    </row>
    <row r="108" spans="1:6" ht="15.75" customHeight="1" x14ac:dyDescent="0.35">
      <c r="A108" s="17" t="s">
        <v>187</v>
      </c>
      <c r="B108" s="90" t="s">
        <v>188</v>
      </c>
      <c r="C108" s="20">
        <v>116934</v>
      </c>
      <c r="D108" s="71">
        <f>99945+50000</f>
        <v>149945</v>
      </c>
      <c r="E108" s="20">
        <f>97112.37+158474</f>
        <v>255586.37</v>
      </c>
    </row>
    <row r="109" spans="1:6" ht="15.75" customHeight="1" x14ac:dyDescent="0.35">
      <c r="A109" s="17" t="s">
        <v>189</v>
      </c>
      <c r="B109" s="43" t="s">
        <v>190</v>
      </c>
      <c r="C109" s="20">
        <f>9700+10000</f>
        <v>19700</v>
      </c>
      <c r="D109" s="71">
        <v>5950</v>
      </c>
      <c r="E109" s="20">
        <v>4646.22</v>
      </c>
    </row>
    <row r="110" spans="1:6" ht="15.75" customHeight="1" x14ac:dyDescent="0.35">
      <c r="A110" s="17" t="s">
        <v>191</v>
      </c>
      <c r="B110" s="43" t="s">
        <v>192</v>
      </c>
      <c r="C110" s="20">
        <v>168812</v>
      </c>
      <c r="D110" s="71">
        <v>148060</v>
      </c>
      <c r="E110" s="20">
        <f>147203.18+27104.88</f>
        <v>174308.06</v>
      </c>
    </row>
    <row r="111" spans="1:6" ht="15.75" customHeight="1" x14ac:dyDescent="0.35">
      <c r="A111" s="17" t="s">
        <v>193</v>
      </c>
      <c r="B111" s="43" t="s">
        <v>194</v>
      </c>
      <c r="C111" s="20">
        <v>32000</v>
      </c>
      <c r="D111" s="71">
        <v>34000</v>
      </c>
      <c r="E111" s="20">
        <v>33152.25</v>
      </c>
    </row>
    <row r="112" spans="1:6" ht="15.75" customHeight="1" x14ac:dyDescent="0.35">
      <c r="A112" s="17" t="s">
        <v>195</v>
      </c>
      <c r="B112" s="43" t="s">
        <v>196</v>
      </c>
      <c r="C112" s="20">
        <v>169158</v>
      </c>
      <c r="D112" s="71">
        <v>160010</v>
      </c>
      <c r="E112" s="20">
        <v>164340.65</v>
      </c>
      <c r="F112" s="98"/>
    </row>
    <row r="113" spans="1:5" ht="15.75" customHeight="1" x14ac:dyDescent="0.35">
      <c r="A113" s="17" t="s">
        <v>197</v>
      </c>
      <c r="B113" s="43" t="s">
        <v>198</v>
      </c>
      <c r="C113" s="20">
        <f>389089+22000</f>
        <v>411089</v>
      </c>
      <c r="D113" s="71">
        <f>383922.39+79700</f>
        <v>463622.39</v>
      </c>
      <c r="E113" s="20">
        <v>347970.91</v>
      </c>
    </row>
    <row r="114" spans="1:5" ht="15.75" customHeight="1" x14ac:dyDescent="0.35">
      <c r="A114" s="17" t="s">
        <v>199</v>
      </c>
      <c r="B114" s="43" t="s">
        <v>200</v>
      </c>
      <c r="C114" s="20">
        <v>56565</v>
      </c>
      <c r="D114" s="71">
        <f>28051+14000</f>
        <v>42051</v>
      </c>
      <c r="E114" s="20">
        <v>26405.29</v>
      </c>
    </row>
    <row r="115" spans="1:5" ht="15.75" customHeight="1" x14ac:dyDescent="0.35">
      <c r="A115" s="17" t="s">
        <v>201</v>
      </c>
      <c r="B115" s="43" t="s">
        <v>202</v>
      </c>
      <c r="C115" s="20"/>
      <c r="D115" s="71"/>
      <c r="E115" s="20"/>
    </row>
    <row r="116" spans="1:5" ht="15.75" customHeight="1" x14ac:dyDescent="0.35">
      <c r="A116" s="17" t="s">
        <v>203</v>
      </c>
      <c r="B116" s="43" t="s">
        <v>204</v>
      </c>
      <c r="C116" s="20">
        <v>13480</v>
      </c>
      <c r="D116" s="71">
        <v>13150</v>
      </c>
      <c r="E116" s="20">
        <f>24795.69+104472</f>
        <v>129267.69</v>
      </c>
    </row>
    <row r="117" spans="1:5" ht="15.75" customHeight="1" x14ac:dyDescent="0.35">
      <c r="A117" s="17" t="s">
        <v>205</v>
      </c>
      <c r="B117" s="43" t="s">
        <v>206</v>
      </c>
      <c r="C117" s="20"/>
      <c r="D117" s="71"/>
      <c r="E117" s="20"/>
    </row>
    <row r="118" spans="1:5" ht="15.75" customHeight="1" x14ac:dyDescent="0.35">
      <c r="A118" s="17" t="s">
        <v>207</v>
      </c>
      <c r="B118" s="43" t="s">
        <v>208</v>
      </c>
      <c r="C118" s="20"/>
      <c r="D118" s="71"/>
      <c r="E118" s="20"/>
    </row>
    <row r="119" spans="1:5" ht="15.75" customHeight="1" x14ac:dyDescent="0.35">
      <c r="A119" s="17" t="s">
        <v>209</v>
      </c>
      <c r="B119" s="43" t="s">
        <v>210</v>
      </c>
      <c r="C119" s="20"/>
      <c r="D119" s="71"/>
      <c r="E119" s="20"/>
    </row>
    <row r="120" spans="1:5" ht="15.75" customHeight="1" x14ac:dyDescent="0.35">
      <c r="A120" s="17" t="s">
        <v>211</v>
      </c>
      <c r="B120" s="43" t="s">
        <v>212</v>
      </c>
      <c r="C120" s="20"/>
      <c r="D120" s="71"/>
      <c r="E120" s="20"/>
    </row>
    <row r="121" spans="1:5" ht="15.75" customHeight="1" x14ac:dyDescent="0.35">
      <c r="A121" s="17" t="s">
        <v>213</v>
      </c>
      <c r="B121" s="41" t="s">
        <v>214</v>
      </c>
      <c r="C121" s="20">
        <v>32000</v>
      </c>
      <c r="D121" s="71">
        <v>29500</v>
      </c>
      <c r="E121" s="20">
        <v>32470.2</v>
      </c>
    </row>
    <row r="122" spans="1:5" ht="15.75" customHeight="1" x14ac:dyDescent="0.35">
      <c r="A122" s="17" t="s">
        <v>215</v>
      </c>
      <c r="B122" s="41" t="s">
        <v>216</v>
      </c>
      <c r="C122" s="20">
        <v>35120</v>
      </c>
      <c r="D122" s="71">
        <v>35120</v>
      </c>
      <c r="E122" s="20">
        <v>34815.15</v>
      </c>
    </row>
    <row r="123" spans="1:5" ht="15.75" customHeight="1" x14ac:dyDescent="0.35">
      <c r="A123" s="17" t="s">
        <v>217</v>
      </c>
      <c r="B123" s="41" t="s">
        <v>218</v>
      </c>
      <c r="C123" s="20">
        <v>35200</v>
      </c>
      <c r="D123" s="71">
        <v>30200</v>
      </c>
      <c r="E123" s="20">
        <v>29519.16</v>
      </c>
    </row>
    <row r="124" spans="1:5" ht="15.75" customHeight="1" x14ac:dyDescent="0.35">
      <c r="A124" s="17"/>
      <c r="B124" s="43"/>
      <c r="C124" s="20"/>
      <c r="D124" s="71"/>
      <c r="E124" s="20"/>
    </row>
    <row r="125" spans="1:5" ht="15.75" customHeight="1" x14ac:dyDescent="0.35">
      <c r="A125" s="76" t="s">
        <v>219</v>
      </c>
      <c r="B125" s="77" t="s">
        <v>220</v>
      </c>
      <c r="C125" s="81">
        <f>SUM(C126:C137)</f>
        <v>6458416</v>
      </c>
      <c r="D125" s="82">
        <f>SUM(D126:D137)</f>
        <v>5021563.5999999996</v>
      </c>
      <c r="E125" s="81">
        <f>SUM(E126:E137)</f>
        <v>5604393.9800000004</v>
      </c>
    </row>
    <row r="126" spans="1:5" ht="15.75" customHeight="1" x14ac:dyDescent="0.35">
      <c r="A126" s="17" t="s">
        <v>221</v>
      </c>
      <c r="B126" s="41" t="s">
        <v>222</v>
      </c>
      <c r="C126" s="20">
        <v>1705765</v>
      </c>
      <c r="D126" s="71">
        <f>1424571+2500</f>
        <v>1427071</v>
      </c>
      <c r="E126" s="20">
        <v>1301131.94</v>
      </c>
    </row>
    <row r="127" spans="1:5" ht="15.75" customHeight="1" x14ac:dyDescent="0.35">
      <c r="A127" s="37" t="s">
        <v>223</v>
      </c>
      <c r="B127" s="91" t="s">
        <v>224</v>
      </c>
      <c r="C127" s="20">
        <v>4228095</v>
      </c>
      <c r="D127" s="71">
        <f>2761223.8+161483+76156.8</f>
        <v>2998863.5999999996</v>
      </c>
      <c r="E127" s="20">
        <f>2521026.5+147878.33+1118241.37</f>
        <v>3787146.2</v>
      </c>
    </row>
    <row r="128" spans="1:5" ht="15.75" customHeight="1" x14ac:dyDescent="0.35">
      <c r="A128" s="37" t="s">
        <v>225</v>
      </c>
      <c r="B128" s="41" t="s">
        <v>226</v>
      </c>
      <c r="C128" s="20"/>
      <c r="D128" s="71"/>
      <c r="E128" s="20"/>
    </row>
    <row r="129" spans="1:5" ht="15.75" customHeight="1" x14ac:dyDescent="0.35">
      <c r="A129" s="17" t="s">
        <v>227</v>
      </c>
      <c r="B129" s="41" t="s">
        <v>228</v>
      </c>
      <c r="C129" s="20"/>
      <c r="D129" s="71"/>
      <c r="E129" s="20"/>
    </row>
    <row r="130" spans="1:5" ht="15.75" customHeight="1" x14ac:dyDescent="0.35">
      <c r="A130" s="17" t="s">
        <v>229</v>
      </c>
      <c r="B130" s="41" t="s">
        <v>230</v>
      </c>
      <c r="C130" s="20"/>
      <c r="D130" s="71"/>
      <c r="E130" s="20"/>
    </row>
    <row r="131" spans="1:5" ht="15.75" customHeight="1" x14ac:dyDescent="0.35">
      <c r="A131" s="17" t="s">
        <v>231</v>
      </c>
      <c r="B131" s="41" t="s">
        <v>232</v>
      </c>
      <c r="C131" s="20">
        <v>332890</v>
      </c>
      <c r="D131" s="71">
        <v>404362</v>
      </c>
      <c r="E131" s="20">
        <v>340765.43</v>
      </c>
    </row>
    <row r="132" spans="1:5" ht="15.75" customHeight="1" x14ac:dyDescent="0.35">
      <c r="A132" s="17" t="s">
        <v>233</v>
      </c>
      <c r="B132" s="41" t="s">
        <v>234</v>
      </c>
      <c r="C132" s="20">
        <v>3000</v>
      </c>
      <c r="D132" s="71">
        <v>1000</v>
      </c>
      <c r="E132" s="20">
        <v>776.5</v>
      </c>
    </row>
    <row r="133" spans="1:5" ht="15.75" customHeight="1" x14ac:dyDescent="0.35">
      <c r="A133" s="17" t="s">
        <v>235</v>
      </c>
      <c r="B133" s="41" t="s">
        <v>236</v>
      </c>
      <c r="C133" s="20">
        <v>157685</v>
      </c>
      <c r="D133" s="71">
        <v>149318</v>
      </c>
      <c r="E133" s="20">
        <v>119785.28</v>
      </c>
    </row>
    <row r="134" spans="1:5" ht="15.75" customHeight="1" x14ac:dyDescent="0.35">
      <c r="A134" s="17" t="s">
        <v>237</v>
      </c>
      <c r="B134" s="41" t="s">
        <v>238</v>
      </c>
      <c r="C134" s="20">
        <v>26981</v>
      </c>
      <c r="D134" s="71">
        <v>37449</v>
      </c>
      <c r="E134" s="20">
        <v>29081.93</v>
      </c>
    </row>
    <row r="135" spans="1:5" ht="15.75" customHeight="1" x14ac:dyDescent="0.35">
      <c r="A135" s="17" t="s">
        <v>239</v>
      </c>
      <c r="B135" s="41" t="s">
        <v>240</v>
      </c>
      <c r="C135" s="20">
        <v>4000</v>
      </c>
      <c r="D135" s="71">
        <v>3500</v>
      </c>
      <c r="E135" s="20">
        <v>25706.7</v>
      </c>
    </row>
    <row r="136" spans="1:5" ht="15.75" customHeight="1" x14ac:dyDescent="0.35">
      <c r="A136" s="17" t="s">
        <v>241</v>
      </c>
      <c r="B136" s="41" t="s">
        <v>242</v>
      </c>
      <c r="C136" s="20"/>
      <c r="D136" s="71"/>
      <c r="E136" s="20"/>
    </row>
    <row r="137" spans="1:5" ht="15.75" customHeight="1" x14ac:dyDescent="0.35">
      <c r="A137" s="17"/>
      <c r="B137" s="41" t="s">
        <v>243</v>
      </c>
      <c r="C137" s="20"/>
      <c r="D137" s="71"/>
      <c r="E137" s="20"/>
    </row>
    <row r="138" spans="1:5" ht="15.75" customHeight="1" x14ac:dyDescent="0.35">
      <c r="A138" s="76" t="s">
        <v>244</v>
      </c>
      <c r="B138" s="87" t="s">
        <v>245</v>
      </c>
      <c r="C138" s="81">
        <f>SUM(C139:C153)</f>
        <v>1266324</v>
      </c>
      <c r="D138" s="82">
        <f>SUM(D139:D153)</f>
        <v>1462923.8900000001</v>
      </c>
      <c r="E138" s="81">
        <f>SUM(E139:E153)</f>
        <v>1057817.23</v>
      </c>
    </row>
    <row r="139" spans="1:5" ht="15.75" customHeight="1" x14ac:dyDescent="0.35">
      <c r="A139" s="17" t="s">
        <v>246</v>
      </c>
      <c r="B139" s="41" t="s">
        <v>247</v>
      </c>
      <c r="C139" s="20">
        <v>6500</v>
      </c>
      <c r="D139" s="71">
        <v>6250</v>
      </c>
      <c r="E139" s="20">
        <v>5891.3</v>
      </c>
    </row>
    <row r="140" spans="1:5" ht="15.75" customHeight="1" x14ac:dyDescent="0.35">
      <c r="A140" s="17" t="s">
        <v>248</v>
      </c>
      <c r="B140" s="41" t="s">
        <v>249</v>
      </c>
      <c r="C140" s="20"/>
      <c r="D140" s="71"/>
      <c r="E140" s="20"/>
    </row>
    <row r="141" spans="1:5" ht="15.75" customHeight="1" x14ac:dyDescent="0.35">
      <c r="A141" s="17" t="s">
        <v>250</v>
      </c>
      <c r="B141" s="41" t="s">
        <v>251</v>
      </c>
      <c r="C141" s="20">
        <v>116220</v>
      </c>
      <c r="D141" s="71">
        <v>113607</v>
      </c>
      <c r="E141" s="20">
        <v>167397.57999999999</v>
      </c>
    </row>
    <row r="142" spans="1:5" ht="15.75" customHeight="1" x14ac:dyDescent="0.35">
      <c r="A142" s="17" t="s">
        <v>252</v>
      </c>
      <c r="B142" s="41" t="s">
        <v>253</v>
      </c>
      <c r="C142" s="20">
        <v>200000</v>
      </c>
      <c r="D142" s="71">
        <v>225000</v>
      </c>
      <c r="E142" s="20">
        <v>208761.03</v>
      </c>
    </row>
    <row r="143" spans="1:5" ht="15.75" customHeight="1" x14ac:dyDescent="0.35">
      <c r="A143" s="17" t="s">
        <v>254</v>
      </c>
      <c r="B143" s="41" t="s">
        <v>255</v>
      </c>
      <c r="C143" s="20">
        <v>136361</v>
      </c>
      <c r="D143" s="71">
        <v>122388.11</v>
      </c>
      <c r="E143" s="20">
        <v>112730.57</v>
      </c>
    </row>
    <row r="144" spans="1:5" ht="15.75" customHeight="1" x14ac:dyDescent="0.35">
      <c r="A144" s="17" t="s">
        <v>256</v>
      </c>
      <c r="B144" s="41" t="s">
        <v>257</v>
      </c>
      <c r="C144" s="20"/>
      <c r="D144" s="71"/>
      <c r="E144" s="20"/>
    </row>
    <row r="145" spans="1:5" ht="15.75" customHeight="1" x14ac:dyDescent="0.35">
      <c r="A145" s="17" t="s">
        <v>258</v>
      </c>
      <c r="B145" s="41" t="s">
        <v>259</v>
      </c>
      <c r="C145" s="20">
        <v>100000</v>
      </c>
      <c r="D145" s="71">
        <v>129000</v>
      </c>
      <c r="E145" s="20">
        <v>133041.09</v>
      </c>
    </row>
    <row r="146" spans="1:5" ht="15.75" customHeight="1" x14ac:dyDescent="0.35">
      <c r="A146" s="17" t="s">
        <v>260</v>
      </c>
      <c r="B146" s="41" t="s">
        <v>261</v>
      </c>
      <c r="C146" s="20">
        <v>112838</v>
      </c>
      <c r="D146" s="71">
        <v>190446.78</v>
      </c>
      <c r="E146" s="20">
        <v>97834.67</v>
      </c>
    </row>
    <row r="147" spans="1:5" ht="15.75" customHeight="1" x14ac:dyDescent="0.35">
      <c r="A147" s="17" t="s">
        <v>262</v>
      </c>
      <c r="B147" s="41" t="s">
        <v>263</v>
      </c>
      <c r="C147" s="20"/>
      <c r="D147" s="71"/>
      <c r="E147" s="20"/>
    </row>
    <row r="148" spans="1:5" ht="15.75" customHeight="1" x14ac:dyDescent="0.35">
      <c r="A148" s="17" t="s">
        <v>264</v>
      </c>
      <c r="B148" s="41" t="s">
        <v>265</v>
      </c>
      <c r="C148" s="20">
        <v>13800</v>
      </c>
      <c r="D148" s="71">
        <v>10500</v>
      </c>
      <c r="E148" s="20">
        <v>9169.26</v>
      </c>
    </row>
    <row r="149" spans="1:5" ht="15.75" customHeight="1" x14ac:dyDescent="0.35">
      <c r="A149" s="17" t="s">
        <v>266</v>
      </c>
      <c r="B149" s="41" t="s">
        <v>267</v>
      </c>
      <c r="C149" s="20"/>
      <c r="D149" s="71"/>
      <c r="E149" s="20"/>
    </row>
    <row r="150" spans="1:5" ht="15.75" customHeight="1" x14ac:dyDescent="0.35">
      <c r="A150" s="17" t="s">
        <v>268</v>
      </c>
      <c r="B150" s="41" t="s">
        <v>269</v>
      </c>
      <c r="C150" s="20">
        <v>300000</v>
      </c>
      <c r="D150" s="71">
        <v>338198</v>
      </c>
      <c r="E150" s="20">
        <v>90230.42</v>
      </c>
    </row>
    <row r="151" spans="1:5" ht="15.75" customHeight="1" x14ac:dyDescent="0.35">
      <c r="A151" s="17" t="s">
        <v>270</v>
      </c>
      <c r="B151" s="41" t="s">
        <v>271</v>
      </c>
      <c r="C151" s="20">
        <v>7640</v>
      </c>
      <c r="D151" s="71">
        <v>43250</v>
      </c>
      <c r="E151" s="20">
        <v>26269.75</v>
      </c>
    </row>
    <row r="152" spans="1:5" ht="15.75" customHeight="1" x14ac:dyDescent="0.35">
      <c r="A152" s="17" t="s">
        <v>272</v>
      </c>
      <c r="B152" s="41" t="s">
        <v>273</v>
      </c>
      <c r="C152" s="20">
        <v>272965</v>
      </c>
      <c r="D152" s="71">
        <v>284284</v>
      </c>
      <c r="E152" s="20">
        <v>206491.56</v>
      </c>
    </row>
    <row r="153" spans="1:5" ht="15.75" customHeight="1" thickBot="1" x14ac:dyDescent="0.4">
      <c r="A153" s="92"/>
      <c r="B153" s="93" t="s">
        <v>274</v>
      </c>
      <c r="C153" s="24"/>
      <c r="D153" s="94"/>
      <c r="E153" s="24"/>
    </row>
  </sheetData>
  <conditionalFormatting sqref="E34">
    <cfRule type="cellIs" dxfId="2" priority="3" stopIfTrue="1" operator="lessThan">
      <formula>0</formula>
    </cfRule>
  </conditionalFormatting>
  <conditionalFormatting sqref="C34">
    <cfRule type="cellIs" dxfId="1" priority="2" stopIfTrue="1" operator="lessThan">
      <formula>0</formula>
    </cfRule>
  </conditionalFormatting>
  <conditionalFormatting sqref="D34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Maire Appo</dc:creator>
  <cp:lastModifiedBy>Maire Appo</cp:lastModifiedBy>
  <dcterms:created xsi:type="dcterms:W3CDTF">2022-11-30T16:37:39Z</dcterms:created>
  <dcterms:modified xsi:type="dcterms:W3CDTF">2022-12-13T14:30:30Z</dcterms:modified>
</cp:coreProperties>
</file>